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bookViews>
  <sheets>
    <sheet name="Sheet1" sheetId="1" r:id="rId1"/>
  </sheets>
  <definedNames>
    <definedName name="ffddf">Sheet1!#REF!</definedName>
    <definedName name="Vd._dettaglio_sotto">Sheet1!#REF!</definedName>
  </definedNames>
  <calcPr calcId="145621"/>
</workbook>
</file>

<file path=xl/calcChain.xml><?xml version="1.0" encoding="utf-8"?>
<calcChain xmlns="http://schemas.openxmlformats.org/spreadsheetml/2006/main">
  <c r="I21" i="1" l="1"/>
  <c r="I20" i="1"/>
  <c r="I18" i="1"/>
  <c r="I17" i="1"/>
  <c r="I14" i="1"/>
  <c r="I13" i="1"/>
  <c r="D13" i="1"/>
  <c r="B75" i="1"/>
  <c r="C16" i="1"/>
  <c r="M16" i="1"/>
  <c r="H9" i="1"/>
  <c r="H16" i="1" l="1"/>
  <c r="AC39" i="1" l="1"/>
  <c r="AC38" i="1"/>
  <c r="X38" i="1"/>
  <c r="M23" i="1"/>
  <c r="M109" i="1"/>
  <c r="M102" i="1"/>
  <c r="M90" i="1"/>
  <c r="N87" i="1"/>
  <c r="N85" i="1"/>
  <c r="H90" i="1"/>
  <c r="H109" i="1"/>
  <c r="I87" i="1"/>
  <c r="I85" i="1"/>
  <c r="M166" i="1"/>
  <c r="I170" i="1"/>
  <c r="H166" i="1" s="1"/>
  <c r="M155" i="1"/>
  <c r="H155" i="1"/>
  <c r="H102" i="1"/>
  <c r="N14" i="1"/>
  <c r="M9" i="1" s="1"/>
  <c r="N21" i="1"/>
  <c r="D20" i="1"/>
  <c r="D18" i="1"/>
  <c r="D17" i="1"/>
  <c r="D49" i="1"/>
  <c r="D48" i="1"/>
  <c r="D47" i="1"/>
  <c r="AR151" i="1"/>
  <c r="AR150" i="1"/>
  <c r="AR149" i="1"/>
  <c r="AR148" i="1"/>
  <c r="AR147" i="1"/>
  <c r="AR146" i="1"/>
  <c r="AR145" i="1"/>
  <c r="AR144" i="1"/>
  <c r="AR143" i="1"/>
  <c r="AR142" i="1"/>
  <c r="AR133" i="1"/>
  <c r="AR124" i="1"/>
  <c r="AR121" i="1"/>
  <c r="AM151" i="1"/>
  <c r="AM150" i="1"/>
  <c r="AM149" i="1"/>
  <c r="AM148" i="1"/>
  <c r="AM147" i="1"/>
  <c r="AM146" i="1"/>
  <c r="AM145" i="1"/>
  <c r="AM144" i="1"/>
  <c r="AM143" i="1"/>
  <c r="AM142" i="1"/>
  <c r="AM133" i="1"/>
  <c r="AM124" i="1"/>
  <c r="AM121" i="1"/>
  <c r="AM72" i="1"/>
  <c r="AM71" i="1"/>
  <c r="AM69" i="1"/>
  <c r="AK64" i="1"/>
  <c r="AM55" i="1"/>
  <c r="AK45" i="1"/>
  <c r="AM38" i="1"/>
  <c r="AK28" i="1"/>
  <c r="AM24" i="1"/>
  <c r="AM10" i="1"/>
  <c r="AR72" i="1"/>
  <c r="AR71" i="1"/>
  <c r="AR69" i="1"/>
  <c r="AP64" i="1"/>
  <c r="AR55" i="1"/>
  <c r="AR38" i="1"/>
  <c r="AP28" i="1"/>
  <c r="AR24" i="1"/>
  <c r="AR10" i="1"/>
  <c r="Q28" i="1"/>
  <c r="AH25" i="1"/>
  <c r="AM25" i="1" s="1"/>
  <c r="AH12" i="1"/>
  <c r="AM12" i="1" s="1"/>
  <c r="AH128" i="1"/>
  <c r="AR128" i="1" s="1"/>
  <c r="AH70" i="1"/>
  <c r="AM70" i="1" s="1"/>
  <c r="AF59" i="1"/>
  <c r="AK59" i="1" s="1"/>
  <c r="AF42" i="1"/>
  <c r="AK42" i="1" s="1"/>
  <c r="AH39" i="1"/>
  <c r="AG37" i="1" s="1"/>
  <c r="AQ37" i="1" s="1"/>
  <c r="AG33" i="1"/>
  <c r="AL33" i="1" s="1"/>
  <c r="AH21" i="1"/>
  <c r="AM21" i="1" s="1"/>
  <c r="AH19" i="1"/>
  <c r="AM19" i="1" s="1"/>
  <c r="AH17" i="1"/>
  <c r="AM17" i="1" s="1"/>
  <c r="AH11" i="1"/>
  <c r="AM11" i="1" s="1"/>
  <c r="N70" i="1"/>
  <c r="L67" i="1" s="1"/>
  <c r="N136" i="1"/>
  <c r="N135" i="1"/>
  <c r="N133" i="1"/>
  <c r="N132" i="1"/>
  <c r="N130" i="1"/>
  <c r="N128" i="1"/>
  <c r="N125" i="1"/>
  <c r="N124" i="1"/>
  <c r="N121" i="1"/>
  <c r="N119" i="1"/>
  <c r="N116" i="1"/>
  <c r="L42" i="1"/>
  <c r="M37" i="1"/>
  <c r="N35" i="1"/>
  <c r="N34" i="1"/>
  <c r="L28" i="1"/>
  <c r="B42" i="1"/>
  <c r="I136" i="1"/>
  <c r="I135" i="1"/>
  <c r="I133" i="1"/>
  <c r="I132" i="1"/>
  <c r="I130" i="1"/>
  <c r="I70" i="1"/>
  <c r="G67" i="1" s="1"/>
  <c r="G45" i="1"/>
  <c r="G42" i="1"/>
  <c r="H37" i="1"/>
  <c r="I35" i="1"/>
  <c r="H33" i="1" s="1"/>
  <c r="G28" i="1"/>
  <c r="H23" i="1"/>
  <c r="Q42" i="1"/>
  <c r="AA42" i="1" s="1"/>
  <c r="D183" i="1"/>
  <c r="D181" i="1"/>
  <c r="AC151" i="1"/>
  <c r="X151" i="1"/>
  <c r="AC150" i="1"/>
  <c r="X150" i="1"/>
  <c r="AC149" i="1"/>
  <c r="X149" i="1"/>
  <c r="AC148" i="1"/>
  <c r="X148" i="1"/>
  <c r="AC147" i="1"/>
  <c r="X147" i="1"/>
  <c r="AC146" i="1"/>
  <c r="X146" i="1"/>
  <c r="AC145" i="1"/>
  <c r="X145" i="1"/>
  <c r="AC144" i="1"/>
  <c r="X144" i="1"/>
  <c r="AC143" i="1"/>
  <c r="X143" i="1"/>
  <c r="AC142" i="1"/>
  <c r="X142" i="1"/>
  <c r="D139" i="1"/>
  <c r="D136" i="1"/>
  <c r="D135" i="1"/>
  <c r="AC133" i="1"/>
  <c r="X133" i="1"/>
  <c r="D133" i="1"/>
  <c r="D132" i="1"/>
  <c r="D130" i="1"/>
  <c r="S128" i="1"/>
  <c r="X128" i="1" s="1"/>
  <c r="D128" i="1"/>
  <c r="D125" i="1"/>
  <c r="AC124" i="1"/>
  <c r="X124" i="1"/>
  <c r="D124" i="1"/>
  <c r="D122" i="1"/>
  <c r="AC121" i="1"/>
  <c r="X121" i="1"/>
  <c r="D121" i="1"/>
  <c r="D120" i="1"/>
  <c r="D119" i="1"/>
  <c r="D116" i="1"/>
  <c r="AB115" i="1"/>
  <c r="W115" i="1"/>
  <c r="Q67" i="1"/>
  <c r="D70" i="1"/>
  <c r="B67" i="1" s="1"/>
  <c r="C166" i="1"/>
  <c r="C37" i="1"/>
  <c r="S21" i="1"/>
  <c r="S39" i="1"/>
  <c r="R37" i="1" s="1"/>
  <c r="X39" i="1" l="1"/>
  <c r="H84" i="1"/>
  <c r="G82" i="1" s="1"/>
  <c r="M84" i="1"/>
  <c r="L82" i="1" s="1"/>
  <c r="M33" i="1"/>
  <c r="L31" i="1" s="1"/>
  <c r="AR25" i="1"/>
  <c r="AM39" i="1"/>
  <c r="V42" i="1"/>
  <c r="AR12" i="1"/>
  <c r="H115" i="1"/>
  <c r="I56" i="1" s="1"/>
  <c r="G53" i="1" s="1"/>
  <c r="AG9" i="1"/>
  <c r="AQ9" i="1" s="1"/>
  <c r="AG23" i="1"/>
  <c r="AQ23" i="1" s="1"/>
  <c r="AG115" i="1"/>
  <c r="AL115" i="1" s="1"/>
  <c r="AR21" i="1"/>
  <c r="M115" i="1"/>
  <c r="N56" i="1" s="1"/>
  <c r="L53" i="1" s="1"/>
  <c r="AF67" i="1"/>
  <c r="AF31" i="1"/>
  <c r="AR19" i="1"/>
  <c r="AR11" i="1"/>
  <c r="AR17" i="1"/>
  <c r="AQ33" i="1"/>
  <c r="AP42" i="1"/>
  <c r="AP59" i="1"/>
  <c r="AR70" i="1"/>
  <c r="AL37" i="1"/>
  <c r="AM128" i="1"/>
  <c r="AL23" i="1"/>
  <c r="AR39" i="1"/>
  <c r="L7" i="1"/>
  <c r="C9" i="1"/>
  <c r="AG16" i="1"/>
  <c r="C115" i="1"/>
  <c r="D56" i="1" s="1"/>
  <c r="B53" i="1" s="1"/>
  <c r="G31" i="1"/>
  <c r="B175" i="1"/>
  <c r="AC128" i="1"/>
  <c r="AC72" i="1"/>
  <c r="X72" i="1"/>
  <c r="G7" i="1" l="1"/>
  <c r="G75" i="1" s="1"/>
  <c r="G76" i="1" s="1"/>
  <c r="L75" i="1"/>
  <c r="L76" i="1" s="1"/>
  <c r="AL9" i="1"/>
  <c r="AP31" i="1"/>
  <c r="AK31" i="1"/>
  <c r="AQ115" i="1"/>
  <c r="AH56" i="1"/>
  <c r="AP67" i="1"/>
  <c r="AK67" i="1"/>
  <c r="AF7" i="1"/>
  <c r="AQ16" i="1"/>
  <c r="AL16" i="1"/>
  <c r="AC71" i="1"/>
  <c r="AC69" i="1"/>
  <c r="AA64" i="1"/>
  <c r="AC55" i="1"/>
  <c r="AA45" i="1"/>
  <c r="AC25" i="1"/>
  <c r="AC24" i="1"/>
  <c r="AC10" i="1"/>
  <c r="X69" i="1"/>
  <c r="V64" i="1"/>
  <c r="X10" i="1"/>
  <c r="X71" i="1"/>
  <c r="X55" i="1"/>
  <c r="V45" i="1"/>
  <c r="X25" i="1"/>
  <c r="X24" i="1"/>
  <c r="B59" i="1"/>
  <c r="C90" i="1"/>
  <c r="C23" i="1"/>
  <c r="R23" i="1"/>
  <c r="W23" i="1" s="1"/>
  <c r="S12" i="1"/>
  <c r="X12" i="1" s="1"/>
  <c r="AA67" i="1"/>
  <c r="Q53" i="1"/>
  <c r="AA53" i="1" s="1"/>
  <c r="C155" i="1"/>
  <c r="D35" i="1"/>
  <c r="D87" i="1"/>
  <c r="D85" i="1"/>
  <c r="D34" i="1"/>
  <c r="AF53" i="1" l="1"/>
  <c r="AR56" i="1"/>
  <c r="AM56" i="1"/>
  <c r="AP7" i="1"/>
  <c r="AK7" i="1"/>
  <c r="AB23" i="1"/>
  <c r="AC56" i="1"/>
  <c r="X70" i="1"/>
  <c r="AC12" i="1"/>
  <c r="AC70" i="1"/>
  <c r="V53" i="1"/>
  <c r="X56" i="1"/>
  <c r="V67" i="1"/>
  <c r="C84" i="1"/>
  <c r="B82" i="1" s="1"/>
  <c r="C33" i="1"/>
  <c r="B7" i="1"/>
  <c r="AK53" i="1" l="1"/>
  <c r="AP53" i="1"/>
  <c r="AF75" i="1"/>
  <c r="AF76" i="1" s="1"/>
  <c r="B31" i="1"/>
  <c r="S19" i="1"/>
  <c r="S17" i="1"/>
  <c r="S11" i="1"/>
  <c r="Q59" i="1"/>
  <c r="R33" i="1"/>
  <c r="AP75" i="1" l="1"/>
  <c r="AK75" i="1"/>
  <c r="AK76" i="1"/>
  <c r="AP76" i="1"/>
  <c r="W33" i="1"/>
  <c r="AB33" i="1"/>
  <c r="AC17" i="1"/>
  <c r="X17" i="1"/>
  <c r="R9" i="1"/>
  <c r="X11" i="1"/>
  <c r="AC11" i="1"/>
  <c r="V59" i="1"/>
  <c r="AA59" i="1"/>
  <c r="X21" i="1"/>
  <c r="AC21" i="1"/>
  <c r="W37" i="1"/>
  <c r="AB37" i="1"/>
  <c r="X19" i="1"/>
  <c r="AC19" i="1"/>
  <c r="Q31" i="1"/>
  <c r="R16" i="1"/>
  <c r="AA31" i="1" l="1"/>
  <c r="V31" i="1"/>
  <c r="AA28" i="1"/>
  <c r="V28" i="1"/>
  <c r="Q7" i="1"/>
  <c r="W16" i="1"/>
  <c r="AB16" i="1"/>
  <c r="AB9" i="1"/>
  <c r="W9" i="1"/>
  <c r="B76" i="1" l="1"/>
  <c r="Q75" i="1"/>
  <c r="AA7" i="1"/>
  <c r="V7" i="1"/>
  <c r="V75" i="1" l="1"/>
  <c r="AA75" i="1"/>
  <c r="AA76" i="1" s="1"/>
  <c r="Q76" i="1"/>
  <c r="V76" i="1" l="1"/>
</calcChain>
</file>

<file path=xl/sharedStrings.xml><?xml version="1.0" encoding="utf-8"?>
<sst xmlns="http://schemas.openxmlformats.org/spreadsheetml/2006/main" count="799" uniqueCount="264">
  <si>
    <t>Indennita` parlamentare</t>
  </si>
  <si>
    <t xml:space="preserve">Indennita` d’ufficio </t>
  </si>
  <si>
    <t xml:space="preserve">Rimborso spese di segreteria </t>
  </si>
  <si>
    <t>Oneri accessori per il personale</t>
  </si>
  <si>
    <t>Contributi conto interesse su prestiti al personale</t>
  </si>
  <si>
    <t>Altri rimborsi al personale</t>
  </si>
  <si>
    <t>Spese per cure derivanti da invalidita` di servizio del personale</t>
  </si>
  <si>
    <t xml:space="preserve">Contributi e rimborsi socio-sanitari al personale </t>
  </si>
  <si>
    <t>DEPUTATI</t>
  </si>
  <si>
    <t>PERSONALE IN QUIESCENZA</t>
  </si>
  <si>
    <t>Contributi conto interessi su prestiti ai pensionati</t>
  </si>
  <si>
    <t>Contributi socio-sanitari ai pensionati</t>
  </si>
  <si>
    <t>Spese per cure derivanti da invalidita` di servizio ai pensionati</t>
  </si>
  <si>
    <t>ACQUISTO DI BENI E SERVIZI</t>
  </si>
  <si>
    <t>Locazione immobili</t>
  </si>
  <si>
    <t>Spese per manutenzioni ordinarie</t>
  </si>
  <si>
    <t>Spese per servizi di pulizia e igiene</t>
  </si>
  <si>
    <t>Fornitura acqua, gas, elettricità</t>
  </si>
  <si>
    <t>Spese telefoniche</t>
  </si>
  <si>
    <t>Spese postali</t>
  </si>
  <si>
    <t>PERSONALE IN ATTIVITA'</t>
  </si>
  <si>
    <t>Contributo per il personale dipendente dei Gruppi</t>
  </si>
  <si>
    <t>Personale di segreteria dei Gruppi</t>
  </si>
  <si>
    <t xml:space="preserve">Contributo per il funzionamento dei Gruppi </t>
  </si>
  <si>
    <t>Funzionamento commissioni, giunte e comitati</t>
  </si>
  <si>
    <t>Interessi attivi</t>
  </si>
  <si>
    <t>Altre entrate</t>
  </si>
  <si>
    <t>ENTRATE NON DA TRASFERIMENTI STATALI</t>
  </si>
  <si>
    <t>Beni e materiali di consumo</t>
  </si>
  <si>
    <t>Stampa degli atti parlamentari</t>
  </si>
  <si>
    <t>Servizi vari di stampa</t>
  </si>
  <si>
    <t>Trasporto</t>
  </si>
  <si>
    <t>Noleggio automezzi</t>
  </si>
  <si>
    <t>Trasporto aereo</t>
  </si>
  <si>
    <t>Trasporto aereo circoscrizione estero</t>
  </si>
  <si>
    <t>Trasporti marittimi</t>
  </si>
  <si>
    <t>Trasporti ferroviari</t>
  </si>
  <si>
    <t>Pedaggi autostradali</t>
  </si>
  <si>
    <t>Altre spese di trasporto</t>
  </si>
  <si>
    <t>Personale non dipendente</t>
  </si>
  <si>
    <t>Attività interparlamentari ed internazionali</t>
  </si>
  <si>
    <t>SPESE IN CONTO CAPITALE</t>
  </si>
  <si>
    <t>RIMBORSI A PARTITI</t>
  </si>
  <si>
    <t>Aggiornamento professionale dei dipendenti, consulenze e studi organizzativi</t>
  </si>
  <si>
    <t>Contributi previdenziali</t>
  </si>
  <si>
    <t>Servizi di ristorazione</t>
  </si>
  <si>
    <t>Retribuzioni del personale</t>
  </si>
  <si>
    <t>Beni, servizi e spese diverse</t>
  </si>
  <si>
    <t>Accesso gratuito via internet agli atti parlamentari</t>
  </si>
  <si>
    <t xml:space="preserve"> </t>
  </si>
  <si>
    <t>Rimborso spese di viaggio</t>
  </si>
  <si>
    <t>Altri rimborsi</t>
  </si>
  <si>
    <t>Comuniczione e informazione</t>
  </si>
  <si>
    <t>PARTITE DI GIRO</t>
  </si>
  <si>
    <t>HCA 8. p. 40</t>
  </si>
  <si>
    <t>HCA 7. p. 38</t>
  </si>
  <si>
    <t>HCM 7, p. 25</t>
  </si>
  <si>
    <t>Contributi assicurativi</t>
  </si>
  <si>
    <t>ICT equipment</t>
  </si>
  <si>
    <t>Training</t>
  </si>
  <si>
    <t>Central management</t>
  </si>
  <si>
    <t>HCM (iii) p. 33</t>
  </si>
  <si>
    <t>HCM 2.2, p. 22 + HCA 2.2  p.35</t>
  </si>
  <si>
    <t>AED cell Z656 "Basic salary", al lordo di tasse</t>
  </si>
  <si>
    <t>HCM 6, p. 24 + AED cell F656 "Travel subisdy"</t>
  </si>
  <si>
    <t>AED cell D656 "Accomodation spending" +  cell AC656 "LALP"</t>
  </si>
  <si>
    <t>HCM 6, p. 24 + AED cell AA656 "Additional salary" al lordo di tasse</t>
  </si>
  <si>
    <t>cap. 1 Indennità parlamentare</t>
  </si>
  <si>
    <t>cap. 3 Altre indennità ai deputati</t>
  </si>
  <si>
    <t>cap. 2 Indennità d' ufficio</t>
  </si>
  <si>
    <t>cap. 5 Rimborsi spese</t>
  </si>
  <si>
    <t>cap. 10 Assegni vitalizi</t>
  </si>
  <si>
    <t>QVBS: Rimborso spese deputati</t>
  </si>
  <si>
    <t>QVBS: Retribuzione del personale</t>
  </si>
  <si>
    <t>cap. 25: Retribuzione del personale</t>
  </si>
  <si>
    <t>cap. 35 Oneri accessori per il personale</t>
  </si>
  <si>
    <t>QVBS: Personale in quiescenza</t>
  </si>
  <si>
    <t>cap.  40 Pensioni</t>
  </si>
  <si>
    <t>cap. 50 Oneri accessori</t>
  </si>
  <si>
    <t>cap. 120 Spese per assicurazioni</t>
  </si>
  <si>
    <t>cap. 55 Spese per locazioni di immobili</t>
  </si>
  <si>
    <t xml:space="preserve">cap. 60 </t>
  </si>
  <si>
    <t>cap. 65</t>
  </si>
  <si>
    <t>cap. 70</t>
  </si>
  <si>
    <t>cap. 75</t>
  </si>
  <si>
    <t>cap. 80</t>
  </si>
  <si>
    <t>cap. 85</t>
  </si>
  <si>
    <t>cap. 90</t>
  </si>
  <si>
    <t>cap. 95</t>
  </si>
  <si>
    <t>cap. 100</t>
  </si>
  <si>
    <t>cap. 105 Personale non dipendente</t>
  </si>
  <si>
    <t>cap. 110</t>
  </si>
  <si>
    <t>Studi e ricerche</t>
  </si>
  <si>
    <t>cap. 115</t>
  </si>
  <si>
    <t>Potenziamento delle strutture di supporto del Parlamento</t>
  </si>
  <si>
    <t>cap. 116</t>
  </si>
  <si>
    <t>cap. 125</t>
  </si>
  <si>
    <t>cap. 126</t>
  </si>
  <si>
    <t>cap. 130</t>
  </si>
  <si>
    <t>capp. 140, 145, 150, 155</t>
  </si>
  <si>
    <t>cap. 135 Contributi ai gruppi parlamentari</t>
  </si>
  <si>
    <t>capp.  161, 162, 163, 164, 170, 175, 176, 180, 185</t>
  </si>
  <si>
    <t>cap. 160</t>
  </si>
  <si>
    <t>Spese per la verifica dei risultati elettorali</t>
  </si>
  <si>
    <t>capp. 190, 191</t>
  </si>
  <si>
    <t>Cerimoniale</t>
  </si>
  <si>
    <t>Spese per dispositivi giurisdzionali</t>
  </si>
  <si>
    <t>cap. 210</t>
  </si>
  <si>
    <t>Spese per la sicurezza sui luoghi di lavoro</t>
  </si>
  <si>
    <t>cap. 215</t>
  </si>
  <si>
    <t>cap. 219</t>
  </si>
  <si>
    <t>Restituzione di somme</t>
  </si>
  <si>
    <t>cap. 220</t>
  </si>
  <si>
    <t>Fondo di riserva per spese obbligatorie o impreviste</t>
  </si>
  <si>
    <t>cap. 225</t>
  </si>
  <si>
    <t>cap. 245</t>
  </si>
  <si>
    <t>Titolo II</t>
  </si>
  <si>
    <t>cap. 401</t>
  </si>
  <si>
    <t>cap. 425</t>
  </si>
  <si>
    <t>Ritenute previdenz. e assist. a carico dei deputati</t>
  </si>
  <si>
    <t>Ritenute previdenz. e assist. a carico del personale</t>
  </si>
  <si>
    <t>Ritenute assist. a carico dei deputati in pensione</t>
  </si>
  <si>
    <t>Ritenute previdenz. e assist. a carico del personale in pensione</t>
  </si>
  <si>
    <t xml:space="preserve">Ritenute erariali sull' indennità parlamentare </t>
  </si>
  <si>
    <t>Ritenute erariali sulle altre indennità ai deputati</t>
  </si>
  <si>
    <t>Ritenute erariali sui vitalizi ai deputati</t>
  </si>
  <si>
    <t>Ritenute erariali sulle retribuzioni del personale</t>
  </si>
  <si>
    <t>Ritenute erariali sulle pensioni al personale</t>
  </si>
  <si>
    <t>Ritenute erariali sulle  somme erogate dal Fondo di previdenza del personale</t>
  </si>
  <si>
    <t>Ritenute erariali su prestazioni rese all' Amministrazione</t>
  </si>
  <si>
    <t>cap. 430</t>
  </si>
  <si>
    <t>Al lordo delle tasse</t>
  </si>
  <si>
    <t>PCPFA p. 20  "Benefits payable" + Tranfers out"</t>
  </si>
  <si>
    <t>Personale dipendente</t>
  </si>
  <si>
    <t>Contributi previdenziali e assicurativi a carico dell' Amministrazione (Exchequer) per personale dipendente e non dipendente</t>
  </si>
  <si>
    <t>CONTRIBUTI A GRUPPI PARLAMENTARI</t>
  </si>
  <si>
    <t>IMPOSTE E TASSE</t>
  </si>
  <si>
    <t>cap. 205</t>
  </si>
  <si>
    <t>Altre spese per beni e servizi e spese non classificabili</t>
  </si>
  <si>
    <t>Security</t>
  </si>
  <si>
    <t>Computer maintenance</t>
  </si>
  <si>
    <t>Accomodation services</t>
  </si>
  <si>
    <t>Finance and specialist services</t>
  </si>
  <si>
    <t>Catering and other supplies</t>
  </si>
  <si>
    <t>Other staff costs</t>
  </si>
  <si>
    <t>Information</t>
  </si>
  <si>
    <t>Contributi a organismi internazionali, istituti storici, borse di studio, e vari</t>
  </si>
  <si>
    <t>HCA 9 p. 41</t>
  </si>
  <si>
    <t>Vendite (atti, pubblicazioni ed altro)</t>
  </si>
  <si>
    <t>cap. 15 Entrate</t>
  </si>
  <si>
    <t>Indennizzi da assicurazioni ed altri recuperi</t>
  </si>
  <si>
    <t>cap. 10 Entrate</t>
  </si>
  <si>
    <t>cap. 20 Entrate</t>
  </si>
  <si>
    <t>Servizi vari</t>
  </si>
  <si>
    <t>cap. 25 Entrate</t>
  </si>
  <si>
    <t>cap. 40 Entrate</t>
  </si>
  <si>
    <t>cap. 45 Entrate</t>
  </si>
  <si>
    <t>HCA 10 p. 41</t>
  </si>
  <si>
    <t>HCM 7, p. 25 + AED cell V656 - AED cell W656</t>
  </si>
  <si>
    <t>Contributi da deputati per vitalizi</t>
  </si>
  <si>
    <t>"Short Money": ai partiti di opposizione</t>
  </si>
  <si>
    <t>Ritenute previdenziali ed assistenziali</t>
  </si>
  <si>
    <t>Ritenute erariali</t>
  </si>
  <si>
    <t>cap. 30 Entrate</t>
  </si>
  <si>
    <t>QVBS: Acquisto di beni e servizi</t>
  </si>
  <si>
    <t>QBVS: Personale non dipendente</t>
  </si>
  <si>
    <t>QVBS: Spese per assciurazioni</t>
  </si>
  <si>
    <t>QVBS: Spese in conto capitale</t>
  </si>
  <si>
    <t>capp. 235, 240, 245, 250</t>
  </si>
  <si>
    <t>capp. 60, 75, 80, 85, 90, 100, 110, 125, 130, 190, 215</t>
  </si>
  <si>
    <t>Di cui: Hardware</t>
  </si>
  <si>
    <t>Di cui: Software</t>
  </si>
  <si>
    <t>QVBS: Assegni vitalizi</t>
  </si>
  <si>
    <t>HOUSE OF COMMONS, in £</t>
  </si>
  <si>
    <t>HOUSE OF COMMONS, in € PPP adjusted</t>
  </si>
  <si>
    <t xml:space="preserve">HOUSE OF COMMONS, in € </t>
  </si>
  <si>
    <t xml:space="preserve"> AED: "Annualized Expense Data 2011-12.csv", downloaded  30 settembre, 2013</t>
  </si>
  <si>
    <t>HCM: "House of Commons: Members. Annual Accounts 2012-13"</t>
  </si>
  <si>
    <t>HCA: "Houjse of Commons: Administration. Annual Accounts 2012-13"</t>
  </si>
  <si>
    <t xml:space="preserve">PCPFA: "Parliamentary Contribution Pension Fund Accounts 2011-12" </t>
  </si>
  <si>
    <t>Fonti:</t>
  </si>
  <si>
    <t xml:space="preserve">Fonte: </t>
  </si>
  <si>
    <t>"Camera dei Deputati: Conto consuntivo per l' anno finanziario 2011"</t>
  </si>
  <si>
    <t>Note:</t>
  </si>
  <si>
    <t xml:space="preserve">1. I dati sono dalla colonna "Pagamenti", quindi sono dati di cassa. La colonna "Impegni" è l' unica che disaggrega le voci dei singoli capitoli. Quando "impegni" e "Pagamenti" sono differenti, ed è necessaria la disaggregazione della voce aggergata del capitolo, evidenzio le voci disaggregate in arancione. In questi casi, la differenza fra la somma delle voci disaggregate e la voce aggregata del capitolo è comunque piccola. </t>
  </si>
  <si>
    <t>PER MEMORIA: QUOTA DA VERSARE AL BILANCIO DELLO STATO</t>
  </si>
  <si>
    <t>2. Numerosi capitoli hanno una voce "Quota da versare al bilancio dello Stato ai sensi dell' articolo  5, comma 1, del decreto legge n. 78/2010, convertito dalla legge n. 122 del 2010". Questo decreto prevede una riduzione di certi emolumenti del 10 percento. Questa voce è disponibile soolo dalla colonna "Impegni". Una cifra sottratta in una cella si riferisce dunque a questa voce. La somma di tutte queste voci è nella riga  "Quota da versare al bilancio dello Stato". Le voci di spesa sono quindi al netto della quota da versare al bilancio dello Stato. Si noti che questo probabilmente sottostima la spesa totale, perché non è chiaro se la cifra impegnata da versare nel bilancio dello Stato è stata effettivamente versata, e neanche se la colonna "Pagamenti" è già al netto della quota da versare nel bilancio dello Stato.</t>
  </si>
  <si>
    <t>Fonte:</t>
  </si>
  <si>
    <t>Purchasing Power Pairy for GDP", OECD</t>
  </si>
  <si>
    <t>"OANDA: Average Exchange Rates"</t>
  </si>
  <si>
    <t>CAMERA DEI DEPUTATI</t>
  </si>
  <si>
    <t>Note</t>
  </si>
  <si>
    <t>Fonte</t>
  </si>
  <si>
    <t>Gestione e assistenza centri informatici</t>
  </si>
  <si>
    <t>HCA p. 53</t>
  </si>
  <si>
    <t>Vd. Nota a "Pensioni" del personale in quiescenza</t>
  </si>
  <si>
    <t>Include "Inward secondment" - "Recoveries in respect of outward secondments"</t>
  </si>
  <si>
    <t xml:space="preserve">Contributi previdenziali </t>
  </si>
  <si>
    <t>Vd. nota a "Pensioni" del personale in quiescenza</t>
  </si>
  <si>
    <t>Il sistema pensionistico per lo Staff della House of Commons consiste del House of Commons Staf Pension Scheme  (HOCSPS).Questo è un sistema "defined benefit" e "pay-as-you-go".  La House of Commons paga dei contributi nozionali (£13270000 nel 2011-12, 14016000 nel 2012-13: vd.  HCA 7. p. 38) basati su aliquote determonate dal Government Actuary. Questa è una posta non-cash, solo nozionale, ma viene contabilizzata in questo documento per compatibilità con il bilancio del Parlamento italiano, in cui i contributi a carico del Parlamento sono di fatto nozionali.  Lo HOCSPS consiste di quattro schemi, uno dei quali consiste in uno "stakeholder pension scheme" in cui il dipendente può  contribuire e il suo contributo è matched dal datore di lavoro. Questo contributo dell' datore di lavoro è stato di £119000 nel 2011-12 e di 100000 nel 2012-13 (vd.  HCA 7. p. 38). Nel 2011-12 l' HOCSPS ha pagato pensioni per £11281000  e ha ricevuto contributi dai dipendenti per £2079000 (vd. HCA p. 53). Queste sono poste cash, quindi vengono riportate in questo documento. La House of Commons paga i benefits  oltre alla pensione principale  dei dipendenti che vanno in pensione sotto l' early retirement scheme (vd.  HCA 1.14 p. 33). Questo costo è stato di £577000 nel 2011-12 (vd. HCA 19(b) p. 54). Anche questo è un costo cash. Infine, , il dato di questa voce riporta "Transfers in less transfers out" come una diminuzione di spesa. Il valore di questa posta nel 2011-12 è stato di £1468000. Si noti che la House of Commons si assume il costo delle pensioni del personale in comune con la House of Lords (vd. HCA p. 51)</t>
  </si>
  <si>
    <t>3. Le spese sono al netto delle imposte e tasse pagate dalla Camera dei Deputati, che sono  riportate separatamente  sotto la voce "Imposte e Tasse"</t>
  </si>
  <si>
    <t>1. Tasso di cambio usato: 1.1723 Euros per Pound. Ottenuto dalla tavola di PPP for GDP, OECD (vd. Link in "Fonte")  per il 2011, come rapporto tra il tasso di cambio tra Euro e Dollaro di .796 e il tasso di cambio tra Euro e Pound di .679</t>
  </si>
  <si>
    <t>AED cells C656 "Constituency office spending" + E656 "General administration spending" +  G656 "Staffing Spending" + H656 "Winding up spending" + I656 "Startup spending" + J656 "Miscellaneous spending" + K656 "Constituency Rental" +  AE656 "Staffing payroll"</t>
  </si>
  <si>
    <t>Rimborsi spese a forfait</t>
  </si>
  <si>
    <t>DEPUTATI CESSATI DAL MANDATO</t>
  </si>
  <si>
    <t>cap. 10 "Assegni vitalizi" + cap. 20  "Rimborso spese sostenute da deputati cessati dal mandato"</t>
  </si>
  <si>
    <t>Vitalizi, vitalizi di reversibilità, rimborso al Senato. Include una piccola posta (€800000) per "Rimborso spese sostenute da deputati cessati dal mandato"</t>
  </si>
  <si>
    <t>Rimborso spese di soggiorno</t>
  </si>
  <si>
    <t>Contributi assicurativi e previdenziali da parte dell' Amministrazione</t>
  </si>
  <si>
    <t xml:space="preserve">Altre indennita` </t>
  </si>
  <si>
    <t>Oneri accessori per il personale in quiescenza</t>
  </si>
  <si>
    <t>Vd. dettaglio sotto</t>
  </si>
  <si>
    <t>Vd. dettagli sotto</t>
  </si>
  <si>
    <t>DETTAGLI</t>
  </si>
  <si>
    <t>cap.  40 Pensioni + cap. 50 Oneri accessori</t>
  </si>
  <si>
    <t>Include una piccola componente di oneri accessori (€450000), di cui vd. dettagli stto</t>
  </si>
  <si>
    <t>cap. 30: Contributi previdenziali a carico dell' Amministrazione + cap. 120 Spese per assicurazioni + cap. 105 Personale non dipendente + cap. 35 Oneri accessori per il personale</t>
  </si>
  <si>
    <t>capp. Entrate: 10 + 20 + 25 + 40 + 45. 10 Entrate</t>
  </si>
  <si>
    <t>Rimborsi spese documentate</t>
  </si>
  <si>
    <t>Remunerazione</t>
  </si>
  <si>
    <t>Include una piccola componente (€514000) di Oneri accessori per il personale in attività, di cui vd. il dettaglio sotto.</t>
  </si>
  <si>
    <t>cap. 105: Servizi del personale non dipendente</t>
  </si>
  <si>
    <t>Include una piccola componente di oneri accessori (€285000), di cui vd. dettagli stto</t>
  </si>
  <si>
    <t xml:space="preserve">capp. Entrate: 10 + 20 + 25 + 40 + 45. </t>
  </si>
  <si>
    <t>capp. Entrate: 10 + 20 + 25 + 40 + 45</t>
  </si>
  <si>
    <t xml:space="preserve">Contributi da personale per la pensione </t>
  </si>
  <si>
    <t>cap. 35 Entrate: "Contributi di riscatto a fine previdenziale"</t>
  </si>
  <si>
    <t>cap. 1 Indennità d' ufficio</t>
  </si>
  <si>
    <t>cap. 1 Altre indennità ai deputati</t>
  </si>
  <si>
    <t>Contributo unico e onnicomprensivo</t>
  </si>
  <si>
    <t>capp. Entrate: 10 + 20 +  40 + 45</t>
  </si>
  <si>
    <t>Vd. dettaglio sotto. Nota: il cap. 25 Entrate per il 20913 prevede un trasferimento di €40000000 dal Fondo di dolidarieta' dei deputati. Questa e' di fato una partita di giro e non viene contabilizzata qui.</t>
  </si>
  <si>
    <t>AED cell AE656 "Staffing costs"</t>
  </si>
  <si>
    <t xml:space="preserve">HCM 6, p. 24 "social security costs" + HCM 6, p. 24 "Other pension costs" </t>
  </si>
  <si>
    <t>Il valore di 13561 for HCM p. 24  "other  pension costs" è esattamente lo stesso di PCPFA p. 20  "Employer (Exchequer) contributions, normal + deficit"</t>
  </si>
  <si>
    <t xml:space="preserve">HCM p. 33 (ii) "Net transfers into Fund" + "HCM p.33 (ii) "Benefits paid out in respect of retired members" </t>
  </si>
  <si>
    <t xml:space="preserve"> quasi identico a  PCPFA p. 20  "Benefits payable" + Tranfers out"</t>
  </si>
  <si>
    <t xml:space="preserve">identical to PCPFA p. 20 3. Contributions: Members" </t>
  </si>
  <si>
    <t>AED cell AE656 "Office costs"</t>
  </si>
  <si>
    <t>HOUSE OF COMMONS, in €</t>
  </si>
  <si>
    <t>1. Tasso di cambio nominale medio fra Euro e Pound per il 2011: 1.1525 (vd link in "Fonte"), consultato il 30 settembre 2013</t>
  </si>
  <si>
    <t>1. Tasso di cambio nominale medio fra Euro e Pound per il 2011: 1.23305 (vd link in "Fonte"), consultato il 30 settembre 2013</t>
  </si>
  <si>
    <t>1. Tasso di cambio usato: 1.1615 Euros per Pound. Ottenuto dalla tavola di PPP for GDP, OECD (vd. Link in "Fonte")  per il 2012, come rapporto tra il tasso di cambio tra Euro e Dollaro di .791 e il tasso di cambio tra Euro e Pound di .681</t>
  </si>
  <si>
    <t>Diaria ("Spese di soggiorno")</t>
  </si>
  <si>
    <t>50% di Rimborso spese per l’esercizio del mandato parlamentare</t>
  </si>
  <si>
    <t>"Rimborso spese per l' esercizio del mandato parlamentare"</t>
  </si>
  <si>
    <t xml:space="preserve">1. I dati sono dalla colonna "Cassa", quindi sono dati di cassa. </t>
  </si>
  <si>
    <t>2. Numerosi capitoli hanno una voce "Quota da versare al bilancio dello Stato ai sensi dell' articolo  5, comma 1, del decreto legge n. 78/2010, convertito dalla legge n. 122 del 2010". Questo decreto prevede una riduzione di certi emolumenti del 10 percento. Una cifra sottratta in una cella si riferisce dunque a questa voce. La somma di tutte queste voci è nella riga  "Quota da versare al bilancio dello Stato". Le voci di spesa sono quindi al netto della quota da versare al bilancio dello Stato. Si noti che questo probabilmente sottostima la spesa totale, perché non è chiaro se la cifra impegnata da versare nel bilancio dello Stato è stata effettivamente versata.</t>
  </si>
  <si>
    <t xml:space="preserve">2. Numerosi capitoli hanno una voce "Quota da versare al bilancio dello Stato ai sensi dell' articolo  5, comma 1, del decreto legge n. 78/2010, convertito dalla legge n. 122 del 2010". Questo decreto prevede una riduzione di certi emolumenti del 10 percento. Questa voce è disponibile solo dalla colonna "Impegni". Tuttavia, dalla Relazione  (pp. 5-13) si evince che per il 2012 questa quota non è stata efefttivamente versata, quindi  la colonna "Pagamenti" è già al netto della quota da versare al bilancio dello Stato. </t>
  </si>
  <si>
    <t xml:space="preserve">4. Le indennità e i vitalizi dei deputati e gli stipendi e pensioni dei dipendenti sono al lordo di tasse, ritenute e contributi previdenziali a carico dle percettore. Poiché anche i dati della House of Commons sono lordi, per comparabilità ho riportato le ritenute come partite di giro sotto la linea. Poiché sia la Camera dei Deputati sia la House of Commons riportano dati sui contributi previdenziali pagati dai percettori, questi sono riposrtati sopra la linea con il sehno meno. </t>
  </si>
  <si>
    <t>Esclusi servizi di ristorazione, e gestione e assistenza centri informatici</t>
  </si>
  <si>
    <t xml:space="preserve">"Rimborso spese per l' esercizio del mandato parlamentare". Nella riunione del 30 gennaio 2012, l'Ufficio di Presidenza ha istituito un "rimborso delle spese per l'esercizio del mandato" che sostituisce il contributo per le pese inerenti al rapporto tra eletto ed elettori. Tale rimborso, di importo complessivo invariato rispetto al precedente contributo, è pari a 3.690 euro (dopo la riduzione di 500 euro del luglio 2010) ed è corrisposto direttamente a ciascun deputato con le seguenti modalità:  per un importo fino a un massimo del 50% a titolo di rimborso per specifiche categorie di spese che devono essere attestate: collaboratori (sulla base di una dichiarazione di assolvimento degli obblighi previsti dalla legge, corredata da copia del contratto, con attestazione di conformità sottoscritta da un professionista); consulenze, ricerche; gestione dell'ufficio; utilizzo di reti pubbliche di consultazione di dati; convegni e sostegno delle attività politiche;  per un importo pari al 50% forfetariamente.
</t>
  </si>
  <si>
    <t>Rimborso spese per l' esercizio del mandato parlamentare. Nella riunione del 30 gennaio 2012, l'Ufficio di Presidenza ha istituito un "rimborso delle spese per l'esercizio del mandato" che sostituisce il contributo per le pese inerenti al rapporto tra eletto ed elettori. Tale rimborso, di importo complessivo invariato rispetto al precedente contributo, è pari a 3.690 euro (dopo la riduzione di 500 euro del luglio 2010) ed è corrisposto direttamente a ciascun deputato con le seguenti modalità:  per un importo fino a un massimo del 50% a titolo di rimborso per specifiche categorie di spese che devono essere attestate: collaboratori (sulla base di una dichiarazione di assolvimento degli obblighi previsti dalla legge, corredata da copia del contratto, con attestazione di conformità sottoscritta da un professionista); consulenze, ricerche; gestione dell'ufficio; utilizzo di reti pubbliche di consultazione di dati; convegni e sostegno delle attività politiche;  per un importo pari al 50% forfetariamente.</t>
  </si>
  <si>
    <t>Rimborsi dal Senato, dal Parlamento Europeo, ed altri rimborsi</t>
  </si>
  <si>
    <t>Il bilancio registra €40000000 di "Trasferimenti  dal Fondo di solidarietà fra i deputati", ma questo è in realtà una partita di giro.</t>
  </si>
  <si>
    <t>"Camera dei Deputati: Progetto di bilancio della Camera dei Deputati per l' anno finanziario 2013", Doc VIII, n.2  (non disponibile su Internet alla data dell' ultima consultaizone del sito della Camera, 28 ottobre 2013)</t>
  </si>
  <si>
    <t>SPESA TOTALE AL NETTO DELLE TASSE E DELLE ENTRATE NON DA TRASFERIMENTI STATALI</t>
  </si>
  <si>
    <t>SPESA TOTALE AL NETTO DELLE TASSE, DELLE ENTRATE NON DA TRASFERIMENTI STATALI,   E  DEI RIMBORSI AI PARTITI</t>
  </si>
  <si>
    <t>Purchasing Power Parity for GDP", OECD</t>
  </si>
  <si>
    <t xml:space="preserve"> AED: "Annualized Expense Data 2012-13.csv", downloaded  30 settembre, 2013</t>
  </si>
  <si>
    <t>HCA: "House of Commons: Administration. Annual Accounts 2012-13"</t>
  </si>
  <si>
    <t>5. La disaggregaziuone in sottocapitoli è disponibile solo per gli impegni, non per i pagamenti. Quando il totale degli impegni per un capitolo differisce dal totale die pagamenti, stimo il valore dei sottocapitoli in "Pagamenti" moltiplicando il valore di ogni sottocapitolo in "Impegni" per il rappporto tra pagamenti e impegni totali di quel capitolo. Queste voci cosi' stimate sono evidenziate in giallo.  Quindi la somma delle singole voci in giallo (terza colonna) è uguale al valore aggregato nella seconda colonna.</t>
  </si>
  <si>
    <t>"Camera dei Deputati: Conto consuntivo per l' anno finanziario 2012", Doc VIII, n.1</t>
  </si>
  <si>
    <t>6. Le voci in arancione sono anch' esse derivate dalla disaggregazione del totale dei un capitolo di "Impegni", in quanto la disaggregazione non è disponibile per  i "Pagamenti". Ma in questo caso i valori dei singoli sottocapitoli dei "Pagamenti" non è moltiplicato per il rapporto fra il valore del capitlo in "Pagamenti" e il valore dello stesso capitolo in "Impegni". Queste voci cosi' stimate sono evidenziate in arancione.  Quindi la somma delle singole voci in arancione (terza colonna) NON è uguale al valore aggregato nella seconda colonna.</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</si>
</sst>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u/>
      <sz val="11"/>
      <color theme="1"/>
      <name val="Calibri"/>
      <family val="2"/>
      <scheme val="minor"/>
    </font>
    <font>
      <b/>
      <u/>
      <sz val="11"/>
      <color rgb="FFFF0000"/>
      <name val="Calibri"/>
      <family val="2"/>
      <scheme val="minor"/>
    </font>
    <font>
      <b/>
      <u/>
      <sz val="11"/>
      <name val="Calibri"/>
      <family val="2"/>
      <scheme val="minor"/>
    </font>
    <font>
      <sz val="11"/>
      <color rgb="FF00B0F0"/>
      <name val="Calibri"/>
      <family val="2"/>
      <scheme val="minor"/>
    </font>
    <font>
      <i/>
      <sz val="11"/>
      <color rgb="FF00B0F0"/>
      <name val="Calibri"/>
      <family val="2"/>
      <scheme val="minor"/>
    </font>
    <font>
      <sz val="11"/>
      <name val="Calibri"/>
      <family val="2"/>
      <scheme val="minor"/>
    </font>
    <font>
      <i/>
      <sz val="11"/>
      <name val="Calibri"/>
      <family val="2"/>
      <scheme val="minor"/>
    </font>
    <font>
      <b/>
      <u/>
      <sz val="11"/>
      <color rgb="FF00B0F0"/>
      <name val="Calibri"/>
      <family val="2"/>
      <scheme val="minor"/>
    </font>
    <font>
      <b/>
      <sz val="11"/>
      <name val="Calibri"/>
      <family val="2"/>
      <scheme val="minor"/>
    </font>
    <font>
      <u/>
      <sz val="11"/>
      <color theme="10"/>
      <name val="Calibri"/>
      <family val="2"/>
    </font>
    <font>
      <u/>
      <sz val="11"/>
      <color theme="1"/>
      <name val="Calibri"/>
      <family val="2"/>
      <scheme val="minor"/>
    </font>
    <font>
      <i/>
      <sz val="11"/>
      <color rgb="FFFF0000"/>
      <name val="Calibri"/>
      <family val="2"/>
      <scheme val="minor"/>
    </font>
    <font>
      <i/>
      <u/>
      <sz val="11"/>
      <color rgb="FFFF0000"/>
      <name val="Calibri"/>
      <family val="2"/>
      <scheme val="minor"/>
    </font>
    <font>
      <b/>
      <i/>
      <sz val="11"/>
      <color theme="1"/>
      <name val="Calibri"/>
      <family val="2"/>
      <scheme val="minor"/>
    </font>
    <font>
      <b/>
      <i/>
      <u/>
      <sz val="11"/>
      <color theme="1"/>
      <name val="Calibri"/>
      <family val="2"/>
      <scheme val="minor"/>
    </font>
    <font>
      <b/>
      <i/>
      <u/>
      <sz val="11"/>
      <color rgb="FF00B0F0"/>
      <name val="Calibri"/>
      <family val="2"/>
      <scheme val="minor"/>
    </font>
    <font>
      <b/>
      <i/>
      <u/>
      <sz val="11"/>
      <name val="Calibri"/>
      <family val="2"/>
      <scheme val="minor"/>
    </font>
    <font>
      <u/>
      <sz val="11"/>
      <color rgb="FFFF0000"/>
      <name val="Calibri"/>
      <family val="2"/>
      <scheme val="minor"/>
    </font>
    <font>
      <i/>
      <u/>
      <sz val="11"/>
      <color theme="1"/>
      <name val="Calibri"/>
      <family val="2"/>
      <scheme val="minor"/>
    </font>
    <font>
      <b/>
      <i/>
      <sz val="11"/>
      <name val="Calibri"/>
      <family val="2"/>
      <scheme val="minor"/>
    </font>
    <font>
      <u/>
      <sz val="11"/>
      <color rgb="FF00B0F0"/>
      <name val="Calibri"/>
      <family val="2"/>
      <scheme val="minor"/>
    </font>
    <font>
      <i/>
      <u/>
      <sz val="11"/>
      <color rgb="FF00B0F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s>
  <borders count="6">
    <border>
      <left/>
      <right/>
      <top/>
      <bottom/>
      <diagonal/>
    </border>
    <border>
      <left/>
      <right style="thick">
        <color auto="1"/>
      </right>
      <top/>
      <bottom/>
      <diagonal/>
    </border>
    <border>
      <left style="thick">
        <color auto="1"/>
      </left>
      <right/>
      <top/>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s>
  <cellStyleXfs count="2">
    <xf numFmtId="0" fontId="0" fillId="0" borderId="0"/>
    <xf numFmtId="0" fontId="13" fillId="0" borderId="0" applyNumberFormat="0" applyFill="0" applyBorder="0" applyAlignment="0" applyProtection="0">
      <alignment vertical="top"/>
      <protection locked="0"/>
    </xf>
  </cellStyleXfs>
  <cellXfs count="219">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4" fillId="2" borderId="0" xfId="0" applyFont="1" applyFill="1"/>
    <xf numFmtId="0" fontId="0" fillId="0" borderId="2" xfId="0" applyBorder="1" applyAlignment="1">
      <alignment horizontal="center" vertical="center"/>
    </xf>
    <xf numFmtId="0" fontId="0" fillId="0" borderId="0" xfId="0"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vertical="center"/>
    </xf>
    <xf numFmtId="0" fontId="8" fillId="0" borderId="0" xfId="0" applyFont="1"/>
    <xf numFmtId="0" fontId="8" fillId="0" borderId="1" xfId="0" applyFont="1" applyBorder="1"/>
    <xf numFmtId="0" fontId="0" fillId="0" borderId="1" xfId="0" applyBorder="1"/>
    <xf numFmtId="1" fontId="0" fillId="0" borderId="0" xfId="0" applyNumberFormat="1"/>
    <xf numFmtId="0" fontId="0" fillId="0" borderId="0" xfId="0" applyFont="1"/>
    <xf numFmtId="0" fontId="8" fillId="0" borderId="0" xfId="0" applyFont="1" applyFill="1" applyBorder="1" applyAlignment="1">
      <alignment horizontal="left" vertical="center"/>
    </xf>
    <xf numFmtId="0" fontId="6" fillId="0" borderId="0" xfId="0" applyFont="1"/>
    <xf numFmtId="0" fontId="12" fillId="0" borderId="0" xfId="0" applyFont="1"/>
    <xf numFmtId="0" fontId="10" fillId="0" borderId="0" xfId="0" applyFont="1"/>
    <xf numFmtId="0" fontId="7" fillId="0" borderId="0" xfId="0" applyFont="1" applyBorder="1" applyAlignment="1">
      <alignment horizontal="left" vertical="center"/>
    </xf>
    <xf numFmtId="0" fontId="8" fillId="0" borderId="0" xfId="0" applyFont="1" applyBorder="1" applyAlignment="1">
      <alignment horizontal="left" vertical="center"/>
    </xf>
    <xf numFmtId="0" fontId="0" fillId="0" borderId="0" xfId="0" applyBorder="1"/>
    <xf numFmtId="0" fontId="8" fillId="2" borderId="0" xfId="0" applyFont="1" applyFill="1" applyBorder="1" applyAlignment="1">
      <alignment horizontal="left" vertical="center"/>
    </xf>
    <xf numFmtId="0" fontId="0" fillId="0" borderId="0" xfId="0" applyFill="1" applyBorder="1"/>
    <xf numFmtId="0" fontId="0" fillId="0" borderId="0" xfId="0" applyBorder="1" applyAlignment="1">
      <alignment vertical="center"/>
    </xf>
    <xf numFmtId="0" fontId="8" fillId="0" borderId="0" xfId="0" applyFont="1" applyBorder="1"/>
    <xf numFmtId="0" fontId="3" fillId="0" borderId="0" xfId="0" applyFont="1" applyBorder="1" applyAlignment="1">
      <alignment horizontal="center" vertical="center"/>
    </xf>
    <xf numFmtId="0" fontId="5" fillId="0" borderId="0" xfId="0" applyFont="1" applyFill="1"/>
    <xf numFmtId="0" fontId="5" fillId="2" borderId="0" xfId="0" applyFont="1" applyFill="1"/>
    <xf numFmtId="0" fontId="3" fillId="2" borderId="0" xfId="0" applyFont="1" applyFill="1"/>
    <xf numFmtId="0" fontId="2" fillId="0" borderId="0" xfId="0" applyFont="1" applyFill="1" applyBorder="1"/>
    <xf numFmtId="0" fontId="0" fillId="0" borderId="2" xfId="0" applyBorder="1"/>
    <xf numFmtId="0" fontId="8" fillId="0" borderId="0" xfId="0" applyFont="1" applyBorder="1" applyAlignment="1">
      <alignment vertical="center"/>
    </xf>
    <xf numFmtId="1" fontId="3" fillId="0" borderId="0" xfId="0" applyNumberFormat="1" applyFont="1"/>
    <xf numFmtId="1" fontId="3" fillId="0" borderId="0" xfId="0" applyNumberFormat="1" applyFont="1" applyAlignment="1">
      <alignment horizontal="center" vertical="center"/>
    </xf>
    <xf numFmtId="1" fontId="10" fillId="0" borderId="0" xfId="0" applyNumberFormat="1" applyFont="1"/>
    <xf numFmtId="1" fontId="12" fillId="0" borderId="0" xfId="0" applyNumberFormat="1" applyFont="1"/>
    <xf numFmtId="0" fontId="2" fillId="0" borderId="0" xfId="0" applyFont="1" applyAlignment="1">
      <alignment vertical="center"/>
    </xf>
    <xf numFmtId="1" fontId="10" fillId="0" borderId="0" xfId="0" applyNumberFormat="1" applyFont="1" applyAlignment="1">
      <alignment vertical="center"/>
    </xf>
    <xf numFmtId="0" fontId="3" fillId="0" borderId="0" xfId="0" applyFont="1" applyAlignment="1">
      <alignment vertical="center"/>
    </xf>
    <xf numFmtId="0" fontId="13" fillId="0" borderId="2" xfId="1" applyBorder="1" applyAlignment="1" applyProtection="1"/>
    <xf numFmtId="0" fontId="5" fillId="0" borderId="3" xfId="0" applyFont="1" applyBorder="1"/>
    <xf numFmtId="0" fontId="8" fillId="0" borderId="3" xfId="0" applyFont="1" applyBorder="1"/>
    <xf numFmtId="0" fontId="7" fillId="0" borderId="0" xfId="0" applyFont="1" applyBorder="1" applyAlignment="1">
      <alignment vertical="center"/>
    </xf>
    <xf numFmtId="0" fontId="14" fillId="0" borderId="2" xfId="0" applyFont="1" applyBorder="1" applyAlignment="1">
      <alignment horizontal="center" vertical="center"/>
    </xf>
    <xf numFmtId="0" fontId="3" fillId="0" borderId="0" xfId="0" applyFont="1" applyFill="1"/>
    <xf numFmtId="0" fontId="3" fillId="0" borderId="1" xfId="0" applyFont="1" applyBorder="1"/>
    <xf numFmtId="0" fontId="3" fillId="0" borderId="0" xfId="0" applyFont="1" applyBorder="1" applyAlignment="1">
      <alignment vertical="center"/>
    </xf>
    <xf numFmtId="0" fontId="8" fillId="0" borderId="0" xfId="0" applyFont="1" applyFill="1" applyBorder="1"/>
    <xf numFmtId="1" fontId="19" fillId="2" borderId="3" xfId="0" applyNumberFormat="1" applyFont="1" applyFill="1" applyBorder="1" applyAlignment="1">
      <alignment horizontal="left" vertical="center"/>
    </xf>
    <xf numFmtId="1" fontId="18" fillId="0" borderId="3" xfId="0" applyNumberFormat="1" applyFont="1" applyBorder="1"/>
    <xf numFmtId="1" fontId="19" fillId="0" borderId="3" xfId="0" applyNumberFormat="1" applyFont="1" applyBorder="1"/>
    <xf numFmtId="1" fontId="0" fillId="0" borderId="2" xfId="0" applyNumberFormat="1" applyBorder="1" applyAlignment="1">
      <alignment horizontal="center" vertical="center"/>
    </xf>
    <xf numFmtId="1" fontId="0" fillId="0" borderId="0" xfId="0" applyNumberFormat="1" applyAlignment="1">
      <alignment horizontal="center" vertical="center"/>
    </xf>
    <xf numFmtId="1" fontId="2" fillId="0" borderId="0" xfId="0" applyNumberFormat="1" applyFont="1" applyAlignment="1">
      <alignment horizontal="center" vertical="center"/>
    </xf>
    <xf numFmtId="1" fontId="0" fillId="0" borderId="2" xfId="0" applyNumberFormat="1" applyBorder="1"/>
    <xf numFmtId="0" fontId="0" fillId="0" borderId="0" xfId="0" applyFill="1"/>
    <xf numFmtId="1" fontId="12" fillId="0" borderId="0" xfId="0" applyNumberFormat="1" applyFont="1" applyAlignment="1">
      <alignment vertical="center"/>
    </xf>
    <xf numFmtId="0" fontId="0" fillId="0" borderId="2" xfId="0" applyBorder="1" applyAlignment="1"/>
    <xf numFmtId="0" fontId="0" fillId="4" borderId="2" xfId="0" applyFill="1" applyBorder="1"/>
    <xf numFmtId="0" fontId="0" fillId="4" borderId="0" xfId="0" applyFill="1"/>
    <xf numFmtId="0" fontId="0" fillId="4" borderId="0" xfId="0" applyFill="1" applyBorder="1"/>
    <xf numFmtId="0" fontId="0" fillId="3" borderId="2" xfId="0" applyFill="1" applyBorder="1"/>
    <xf numFmtId="0" fontId="0" fillId="3" borderId="0" xfId="0" applyFill="1"/>
    <xf numFmtId="0" fontId="0" fillId="3" borderId="0" xfId="0" applyFill="1" applyBorder="1"/>
    <xf numFmtId="0" fontId="3" fillId="0" borderId="0" xfId="0" applyFont="1" applyBorder="1"/>
    <xf numFmtId="0" fontId="0" fillId="0" borderId="2" xfId="0" applyBorder="1" applyAlignment="1">
      <alignment vertical="center"/>
    </xf>
    <xf numFmtId="0" fontId="5" fillId="0" borderId="0" xfId="0" applyFont="1" applyAlignment="1"/>
    <xf numFmtId="0" fontId="4" fillId="0" borderId="0" xfId="0" applyFont="1" applyAlignment="1"/>
    <xf numFmtId="0" fontId="25" fillId="0" borderId="0" xfId="0" applyFont="1" applyBorder="1" applyAlignment="1"/>
    <xf numFmtId="0" fontId="22" fillId="0" borderId="0" xfId="0" applyFont="1" applyAlignment="1"/>
    <xf numFmtId="0" fontId="0" fillId="0" borderId="0" xfId="0" applyAlignment="1">
      <alignment horizontal="center"/>
    </xf>
    <xf numFmtId="0" fontId="11" fillId="0" borderId="0" xfId="0" applyFont="1" applyBorder="1" applyAlignment="1">
      <alignment horizontal="center" vertical="center"/>
    </xf>
    <xf numFmtId="0" fontId="5" fillId="0" borderId="0" xfId="0" applyFont="1" applyAlignment="1">
      <alignment horizontal="center"/>
    </xf>
    <xf numFmtId="0" fontId="2" fillId="0" borderId="0" xfId="0" applyFont="1" applyAlignment="1">
      <alignment horizontal="center"/>
    </xf>
    <xf numFmtId="0" fontId="8" fillId="0" borderId="0" xfId="0" applyFont="1" applyBorder="1" applyAlignment="1">
      <alignment horizontal="center"/>
    </xf>
    <xf numFmtId="0" fontId="3" fillId="0" borderId="0" xfId="0" applyFont="1" applyAlignment="1">
      <alignment horizontal="center"/>
    </xf>
    <xf numFmtId="1" fontId="5" fillId="0" borderId="2" xfId="0" applyNumberFormat="1" applyFont="1" applyBorder="1" applyAlignment="1">
      <alignment vertical="center"/>
    </xf>
    <xf numFmtId="0" fontId="5" fillId="0" borderId="2" xfId="0" applyFont="1" applyBorder="1" applyAlignment="1">
      <alignment vertical="center"/>
    </xf>
    <xf numFmtId="1" fontId="5" fillId="0" borderId="2" xfId="0" applyNumberFormat="1" applyFont="1" applyFill="1" applyBorder="1" applyAlignment="1">
      <alignment vertical="center"/>
    </xf>
    <xf numFmtId="1" fontId="5" fillId="2" borderId="4" xfId="0" applyNumberFormat="1" applyFont="1" applyFill="1" applyBorder="1" applyAlignment="1">
      <alignment vertical="center"/>
    </xf>
    <xf numFmtId="0" fontId="0" fillId="0" borderId="2" xfId="0" applyBorder="1" applyAlignment="1">
      <alignment horizontal="center"/>
    </xf>
    <xf numFmtId="0" fontId="7" fillId="0" borderId="0" xfId="0" applyFont="1" applyBorder="1" applyAlignment="1">
      <alignment horizontal="center" vertical="center"/>
    </xf>
    <xf numFmtId="0" fontId="0" fillId="0" borderId="0" xfId="0" applyBorder="1" applyAlignment="1">
      <alignment horizontal="center"/>
    </xf>
    <xf numFmtId="0" fontId="14" fillId="0" borderId="0" xfId="0" applyFont="1" applyAlignment="1">
      <alignment horizontal="center"/>
    </xf>
    <xf numFmtId="0" fontId="24" fillId="0" borderId="0" xfId="0" applyFont="1" applyBorder="1" applyAlignment="1">
      <alignment horizontal="center" vertical="center"/>
    </xf>
    <xf numFmtId="0" fontId="14" fillId="0" borderId="0" xfId="0" applyFont="1" applyBorder="1" applyAlignment="1">
      <alignment horizontal="center"/>
    </xf>
    <xf numFmtId="0" fontId="3" fillId="0" borderId="0" xfId="0" applyFont="1" applyBorder="1" applyAlignment="1">
      <alignment horizontal="center"/>
    </xf>
    <xf numFmtId="0" fontId="22" fillId="0" borderId="0" xfId="0" applyFont="1" applyBorder="1" applyAlignment="1">
      <alignment horizontal="center"/>
    </xf>
    <xf numFmtId="0" fontId="3" fillId="2" borderId="0" xfId="0" applyFont="1" applyFill="1" applyBorder="1"/>
    <xf numFmtId="0" fontId="3" fillId="0" borderId="0" xfId="0" applyFont="1" applyFill="1" applyBorder="1"/>
    <xf numFmtId="1" fontId="18" fillId="2" borderId="3" xfId="0" applyNumberFormat="1" applyFont="1" applyFill="1" applyBorder="1"/>
    <xf numFmtId="0" fontId="22" fillId="0" borderId="0" xfId="0" applyFont="1" applyBorder="1"/>
    <xf numFmtId="0" fontId="3" fillId="0" borderId="0" xfId="0" applyFont="1" applyBorder="1" applyAlignment="1"/>
    <xf numFmtId="0" fontId="3" fillId="0" borderId="1" xfId="0" applyFont="1" applyBorder="1" applyAlignment="1">
      <alignment horizontal="center"/>
    </xf>
    <xf numFmtId="0" fontId="3" fillId="0" borderId="1" xfId="0" applyFont="1" applyFill="1" applyBorder="1"/>
    <xf numFmtId="0" fontId="3" fillId="0" borderId="0" xfId="0" applyNumberFormat="1" applyFont="1" applyBorder="1"/>
    <xf numFmtId="0" fontId="5" fillId="0" borderId="2" xfId="0" applyFont="1" applyBorder="1"/>
    <xf numFmtId="0" fontId="5" fillId="0" borderId="2" xfId="0" applyFont="1" applyBorder="1" applyAlignment="1"/>
    <xf numFmtId="0" fontId="5" fillId="0" borderId="2" xfId="0" applyFont="1" applyBorder="1" applyAlignment="1">
      <alignment horizontal="center"/>
    </xf>
    <xf numFmtId="0" fontId="14" fillId="0" borderId="0" xfId="0" applyFont="1" applyBorder="1" applyAlignment="1"/>
    <xf numFmtId="1" fontId="16" fillId="0" borderId="2" xfId="0" applyNumberFormat="1" applyFont="1" applyBorder="1" applyAlignment="1">
      <alignment vertical="center"/>
    </xf>
    <xf numFmtId="0" fontId="4" fillId="0" borderId="0" xfId="0" applyFont="1" applyBorder="1" applyAlignment="1"/>
    <xf numFmtId="0" fontId="5" fillId="0" borderId="0" xfId="0" applyFont="1" applyBorder="1" applyAlignment="1">
      <alignment horizontal="center"/>
    </xf>
    <xf numFmtId="0" fontId="14" fillId="0" borderId="2" xfId="0" applyFont="1" applyBorder="1" applyAlignment="1"/>
    <xf numFmtId="1" fontId="13" fillId="0" borderId="2" xfId="1" applyNumberFormat="1" applyBorder="1" applyAlignment="1" applyProtection="1"/>
    <xf numFmtId="0" fontId="0" fillId="0" borderId="2" xfId="0" applyBorder="1" applyAlignment="1">
      <alignment horizontal="right" vertical="center"/>
    </xf>
    <xf numFmtId="0" fontId="0" fillId="0" borderId="0" xfId="0"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 fontId="5" fillId="0" borderId="2" xfId="0" applyNumberFormat="1" applyFont="1" applyBorder="1" applyAlignment="1">
      <alignment horizontal="right" vertical="center"/>
    </xf>
    <xf numFmtId="0" fontId="4" fillId="0" borderId="2" xfId="0" applyFont="1" applyBorder="1" applyAlignment="1">
      <alignment horizontal="right" vertical="center"/>
    </xf>
    <xf numFmtId="0" fontId="2" fillId="0" borderId="2" xfId="0" applyFont="1" applyBorder="1" applyAlignment="1">
      <alignment horizontal="right" vertical="center"/>
    </xf>
    <xf numFmtId="1" fontId="2" fillId="0" borderId="0" xfId="0" applyNumberFormat="1" applyFont="1" applyAlignment="1">
      <alignment horizontal="right" vertical="center"/>
    </xf>
    <xf numFmtId="0" fontId="3" fillId="0" borderId="2" xfId="0" applyFont="1" applyBorder="1" applyAlignment="1">
      <alignment horizontal="right" vertical="center"/>
    </xf>
    <xf numFmtId="1" fontId="3" fillId="4" borderId="0" xfId="0" applyNumberFormat="1" applyFont="1" applyFill="1" applyAlignment="1">
      <alignment horizontal="right" vertical="center"/>
    </xf>
    <xf numFmtId="1" fontId="3" fillId="0" borderId="0" xfId="0" applyNumberFormat="1" applyFont="1" applyFill="1" applyAlignment="1">
      <alignment horizontal="right" vertical="center"/>
    </xf>
    <xf numFmtId="1" fontId="0" fillId="0" borderId="0" xfId="0" applyNumberFormat="1" applyFill="1" applyAlignment="1">
      <alignment horizontal="right"/>
    </xf>
    <xf numFmtId="0" fontId="3" fillId="0" borderId="0" xfId="0" applyFont="1" applyFill="1" applyAlignment="1">
      <alignment horizontal="right" vertical="center"/>
    </xf>
    <xf numFmtId="0" fontId="0" fillId="0" borderId="2" xfId="0" applyBorder="1" applyAlignment="1">
      <alignment horizontal="right"/>
    </xf>
    <xf numFmtId="0" fontId="0" fillId="0" borderId="0" xfId="0" applyAlignment="1">
      <alignment horizontal="right"/>
    </xf>
    <xf numFmtId="0" fontId="2" fillId="0" borderId="0" xfId="0" applyFont="1" applyAlignment="1">
      <alignment horizontal="right"/>
    </xf>
    <xf numFmtId="0" fontId="3" fillId="0" borderId="0" xfId="0" applyFont="1" applyAlignment="1">
      <alignment horizontal="right"/>
    </xf>
    <xf numFmtId="0" fontId="5" fillId="0" borderId="2" xfId="0" applyFont="1" applyBorder="1" applyAlignment="1">
      <alignment horizontal="right" vertical="center"/>
    </xf>
    <xf numFmtId="0" fontId="0" fillId="0" borderId="2" xfId="0" applyFill="1" applyBorder="1" applyAlignment="1">
      <alignment horizontal="right" vertical="center"/>
    </xf>
    <xf numFmtId="0" fontId="2" fillId="0" borderId="0" xfId="0" applyFont="1" applyFill="1" applyAlignment="1">
      <alignment horizontal="right" vertical="center"/>
    </xf>
    <xf numFmtId="0" fontId="5" fillId="0" borderId="2" xfId="0" applyFont="1" applyFill="1" applyBorder="1" applyAlignment="1">
      <alignment horizontal="right" vertical="center"/>
    </xf>
    <xf numFmtId="0" fontId="2" fillId="0" borderId="2" xfId="0" applyFont="1" applyFill="1" applyBorder="1" applyAlignment="1">
      <alignment horizontal="right" vertical="center"/>
    </xf>
    <xf numFmtId="0" fontId="1" fillId="0" borderId="2" xfId="0" applyFont="1" applyBorder="1" applyAlignment="1">
      <alignment horizontal="right" vertical="center"/>
    </xf>
    <xf numFmtId="0" fontId="1" fillId="2" borderId="2" xfId="0" applyFont="1" applyFill="1" applyBorder="1" applyAlignment="1">
      <alignment horizontal="right" vertical="center"/>
    </xf>
    <xf numFmtId="0" fontId="3" fillId="2" borderId="0" xfId="0" applyFont="1" applyFill="1" applyAlignment="1">
      <alignment horizontal="right" vertical="center"/>
    </xf>
    <xf numFmtId="0" fontId="15" fillId="2" borderId="2" xfId="0" applyFont="1" applyFill="1" applyBorder="1" applyAlignment="1">
      <alignment horizontal="right" vertical="center"/>
    </xf>
    <xf numFmtId="0" fontId="2" fillId="2" borderId="0" xfId="0" applyFont="1" applyFill="1" applyAlignment="1">
      <alignment horizontal="right" vertical="center"/>
    </xf>
    <xf numFmtId="0" fontId="17" fillId="2" borderId="0" xfId="0" applyFont="1" applyFill="1" applyAlignment="1">
      <alignment horizontal="right" vertical="center"/>
    </xf>
    <xf numFmtId="1" fontId="5" fillId="0" borderId="2" xfId="0" applyNumberFormat="1" applyFont="1" applyFill="1" applyBorder="1" applyAlignment="1">
      <alignment horizontal="right" vertical="center"/>
    </xf>
    <xf numFmtId="1" fontId="5" fillId="2" borderId="4" xfId="0" applyNumberFormat="1" applyFont="1" applyFill="1" applyBorder="1" applyAlignment="1">
      <alignment horizontal="right" vertical="center"/>
    </xf>
    <xf numFmtId="1" fontId="4" fillId="2" borderId="3" xfId="0" applyNumberFormat="1" applyFont="1" applyFill="1" applyBorder="1" applyAlignment="1">
      <alignment horizontal="right" vertical="center"/>
    </xf>
    <xf numFmtId="1" fontId="18" fillId="2" borderId="3" xfId="0" applyNumberFormat="1" applyFont="1" applyFill="1" applyBorder="1" applyAlignment="1">
      <alignment horizontal="right" vertical="center"/>
    </xf>
    <xf numFmtId="0" fontId="2" fillId="0" borderId="0" xfId="0" applyFont="1" applyFill="1" applyBorder="1" applyAlignment="1">
      <alignment horizontal="right" vertical="center"/>
    </xf>
    <xf numFmtId="0" fontId="10" fillId="0" borderId="0" xfId="0" applyFont="1" applyFill="1" applyBorder="1" applyAlignment="1">
      <alignment horizontal="right" vertical="center"/>
    </xf>
    <xf numFmtId="0" fontId="0" fillId="0" borderId="0" xfId="0" applyFill="1" applyBorder="1" applyAlignment="1">
      <alignment horizontal="right"/>
    </xf>
    <xf numFmtId="0" fontId="10" fillId="0" borderId="0" xfId="0" applyFont="1" applyFill="1" applyAlignment="1">
      <alignment horizontal="right"/>
    </xf>
    <xf numFmtId="0" fontId="2" fillId="0" borderId="0" xfId="0" applyFont="1" applyFill="1" applyBorder="1" applyAlignment="1">
      <alignment horizontal="right"/>
    </xf>
    <xf numFmtId="0" fontId="1" fillId="0" borderId="2" xfId="0" applyFont="1" applyFill="1" applyBorder="1" applyAlignment="1">
      <alignment horizontal="right" vertical="center"/>
    </xf>
    <xf numFmtId="0" fontId="3" fillId="3" borderId="0" xfId="0" applyFont="1" applyFill="1" applyAlignment="1">
      <alignment horizontal="right" vertical="center"/>
    </xf>
    <xf numFmtId="0" fontId="10" fillId="3" borderId="0" xfId="0" applyFont="1" applyFill="1" applyAlignment="1">
      <alignment horizontal="right" vertical="center"/>
    </xf>
    <xf numFmtId="0" fontId="14" fillId="0" borderId="2" xfId="0" applyFont="1" applyBorder="1" applyAlignment="1">
      <alignment horizontal="right" vertical="center"/>
    </xf>
    <xf numFmtId="0" fontId="14" fillId="0" borderId="0" xfId="0" applyFont="1" applyAlignment="1">
      <alignment horizontal="right" vertical="center"/>
    </xf>
    <xf numFmtId="1" fontId="3" fillId="0" borderId="0" xfId="0" applyNumberFormat="1" applyFont="1" applyAlignment="1">
      <alignment horizontal="right" vertical="center"/>
    </xf>
    <xf numFmtId="1" fontId="4" fillId="0" borderId="2" xfId="0" applyNumberFormat="1" applyFont="1" applyBorder="1" applyAlignment="1">
      <alignment horizontal="right" vertical="center"/>
    </xf>
    <xf numFmtId="1" fontId="2" fillId="0" borderId="2" xfId="0" applyNumberFormat="1" applyFont="1" applyBorder="1" applyAlignment="1">
      <alignment horizontal="right" vertical="center"/>
    </xf>
    <xf numFmtId="1" fontId="3" fillId="0" borderId="2" xfId="0" applyNumberFormat="1" applyFont="1" applyBorder="1" applyAlignment="1">
      <alignment horizontal="right" vertical="center"/>
    </xf>
    <xf numFmtId="1" fontId="0" fillId="0" borderId="2" xfId="0" applyNumberFormat="1" applyBorder="1" applyAlignment="1">
      <alignment horizontal="right" vertical="center"/>
    </xf>
    <xf numFmtId="1" fontId="3" fillId="2" borderId="0" xfId="0" applyNumberFormat="1" applyFont="1" applyFill="1" applyAlignment="1">
      <alignment horizontal="right" vertical="center"/>
    </xf>
    <xf numFmtId="1" fontId="0" fillId="0" borderId="2" xfId="0" applyNumberFormat="1" applyBorder="1" applyAlignment="1">
      <alignment horizontal="right"/>
    </xf>
    <xf numFmtId="1" fontId="0" fillId="0" borderId="0" xfId="0" applyNumberFormat="1" applyAlignment="1">
      <alignment horizontal="right"/>
    </xf>
    <xf numFmtId="1" fontId="2" fillId="0" borderId="0" xfId="0" applyNumberFormat="1" applyFont="1" applyAlignment="1">
      <alignment horizontal="right"/>
    </xf>
    <xf numFmtId="1" fontId="3" fillId="0" borderId="0" xfId="0" applyNumberFormat="1" applyFont="1" applyAlignment="1">
      <alignment horizontal="right"/>
    </xf>
    <xf numFmtId="1" fontId="0" fillId="0" borderId="2" xfId="0" applyNumberFormat="1" applyFill="1" applyBorder="1" applyAlignment="1">
      <alignment horizontal="right" vertical="center"/>
    </xf>
    <xf numFmtId="1" fontId="2" fillId="0" borderId="0" xfId="0" applyNumberFormat="1" applyFont="1" applyFill="1" applyAlignment="1">
      <alignment horizontal="right" vertical="center"/>
    </xf>
    <xf numFmtId="1" fontId="2" fillId="0" borderId="2" xfId="0" applyNumberFormat="1" applyFont="1" applyFill="1" applyBorder="1" applyAlignment="1">
      <alignment horizontal="right" vertical="center"/>
    </xf>
    <xf numFmtId="1" fontId="1" fillId="0" borderId="2" xfId="0" applyNumberFormat="1" applyFont="1" applyBorder="1" applyAlignment="1">
      <alignment horizontal="right" vertical="center"/>
    </xf>
    <xf numFmtId="1" fontId="1" fillId="2" borderId="2" xfId="0" applyNumberFormat="1" applyFont="1" applyFill="1" applyBorder="1" applyAlignment="1">
      <alignment horizontal="right" vertical="center"/>
    </xf>
    <xf numFmtId="1" fontId="15" fillId="2" borderId="2" xfId="0" applyNumberFormat="1" applyFont="1" applyFill="1" applyBorder="1" applyAlignment="1">
      <alignment horizontal="right" vertical="center"/>
    </xf>
    <xf numFmtId="1" fontId="2" fillId="2" borderId="0" xfId="0" applyNumberFormat="1" applyFont="1" applyFill="1" applyAlignment="1">
      <alignment horizontal="right" vertical="center"/>
    </xf>
    <xf numFmtId="1" fontId="17" fillId="2" borderId="0" xfId="0" applyNumberFormat="1" applyFont="1" applyFill="1" applyAlignment="1">
      <alignment horizontal="right" vertical="center"/>
    </xf>
    <xf numFmtId="0" fontId="10" fillId="0" borderId="0" xfId="0" applyFont="1" applyFill="1" applyAlignment="1">
      <alignment horizontal="right" vertical="center"/>
    </xf>
    <xf numFmtId="0" fontId="14" fillId="0" borderId="2" xfId="0" applyFont="1" applyFill="1" applyBorder="1" applyAlignment="1">
      <alignment horizontal="right" vertical="center"/>
    </xf>
    <xf numFmtId="0" fontId="14" fillId="0" borderId="0" xfId="0" applyFont="1" applyFill="1" applyAlignment="1">
      <alignment horizontal="right" vertical="center"/>
    </xf>
    <xf numFmtId="0" fontId="0" fillId="0" borderId="2" xfId="0" applyFill="1" applyBorder="1" applyAlignment="1">
      <alignment horizontal="right"/>
    </xf>
    <xf numFmtId="0" fontId="0" fillId="0" borderId="0" xfId="0" applyFill="1" applyAlignment="1">
      <alignment horizontal="right"/>
    </xf>
    <xf numFmtId="1" fontId="0" fillId="0" borderId="0" xfId="0" applyNumberFormat="1" applyAlignment="1">
      <alignment horizontal="right" vertical="center"/>
    </xf>
    <xf numFmtId="0" fontId="0" fillId="2" borderId="0" xfId="0" applyFill="1" applyAlignment="1">
      <alignment horizontal="right"/>
    </xf>
    <xf numFmtId="0" fontId="5" fillId="0" borderId="2" xfId="0" applyFont="1" applyBorder="1" applyAlignment="1">
      <alignment horizontal="right"/>
    </xf>
    <xf numFmtId="0" fontId="17" fillId="0" borderId="0" xfId="0" applyFont="1" applyAlignment="1">
      <alignment horizontal="right" vertical="center"/>
    </xf>
    <xf numFmtId="0" fontId="2" fillId="0" borderId="0" xfId="0" applyFont="1" applyFill="1" applyAlignment="1">
      <alignment horizontal="right"/>
    </xf>
    <xf numFmtId="0" fontId="3" fillId="0" borderId="0" xfId="0" applyFont="1" applyFill="1" applyAlignment="1">
      <alignment horizontal="right"/>
    </xf>
    <xf numFmtId="1" fontId="4" fillId="0" borderId="3" xfId="0" applyNumberFormat="1" applyFont="1" applyBorder="1" applyAlignment="1">
      <alignment horizontal="right"/>
    </xf>
    <xf numFmtId="1" fontId="18" fillId="0" borderId="3" xfId="0" applyNumberFormat="1" applyFont="1" applyBorder="1" applyAlignment="1">
      <alignment horizontal="right"/>
    </xf>
    <xf numFmtId="0" fontId="5" fillId="2" borderId="2" xfId="0" applyFont="1" applyFill="1" applyBorder="1" applyAlignment="1">
      <alignment horizontal="right"/>
    </xf>
    <xf numFmtId="1" fontId="9" fillId="0" borderId="0" xfId="0" applyNumberFormat="1" applyFont="1" applyAlignment="1">
      <alignment vertical="center"/>
    </xf>
    <xf numFmtId="1" fontId="12" fillId="0" borderId="0" xfId="0" applyNumberFormat="1" applyFont="1" applyFill="1" applyAlignment="1">
      <alignment vertical="center"/>
    </xf>
    <xf numFmtId="1" fontId="10" fillId="0" borderId="0" xfId="0" applyNumberFormat="1" applyFont="1" applyFill="1" applyAlignment="1">
      <alignment vertical="center"/>
    </xf>
    <xf numFmtId="1" fontId="6" fillId="0" borderId="3" xfId="0" applyNumberFormat="1" applyFont="1" applyBorder="1" applyAlignment="1">
      <alignment vertical="center"/>
    </xf>
    <xf numFmtId="1" fontId="20" fillId="0" borderId="3" xfId="0" applyNumberFormat="1" applyFont="1" applyBorder="1" applyAlignment="1">
      <alignment vertical="center"/>
    </xf>
    <xf numFmtId="0" fontId="5" fillId="2" borderId="2" xfId="0" applyFont="1" applyFill="1" applyBorder="1" applyAlignment="1">
      <alignment vertical="center"/>
    </xf>
    <xf numFmtId="0" fontId="13" fillId="0" borderId="2" xfId="1" applyBorder="1" applyAlignment="1" applyProtection="1">
      <alignment vertical="center"/>
    </xf>
    <xf numFmtId="1" fontId="12" fillId="0" borderId="0" xfId="0" applyNumberFormat="1" applyFont="1" applyAlignment="1">
      <alignment horizontal="right" vertical="center"/>
    </xf>
    <xf numFmtId="1" fontId="10" fillId="0" borderId="0" xfId="0" applyNumberFormat="1" applyFont="1" applyAlignment="1">
      <alignment horizontal="right" vertical="center"/>
    </xf>
    <xf numFmtId="1" fontId="16" fillId="0" borderId="2" xfId="0" applyNumberFormat="1" applyFont="1" applyBorder="1" applyAlignment="1">
      <alignment horizontal="right" vertical="center"/>
    </xf>
    <xf numFmtId="1" fontId="5" fillId="0" borderId="0" xfId="0" applyNumberFormat="1" applyFont="1" applyAlignment="1">
      <alignment horizontal="right"/>
    </xf>
    <xf numFmtId="1" fontId="0" fillId="0" borderId="0" xfId="0" applyNumberFormat="1" applyFont="1" applyAlignment="1">
      <alignment horizontal="right"/>
    </xf>
    <xf numFmtId="1" fontId="12" fillId="0" borderId="0" xfId="0" applyNumberFormat="1" applyFont="1" applyAlignment="1">
      <alignment horizontal="right"/>
    </xf>
    <xf numFmtId="1" fontId="9" fillId="0" borderId="0" xfId="0" applyNumberFormat="1" applyFont="1" applyAlignment="1">
      <alignment horizontal="right"/>
    </xf>
    <xf numFmtId="1" fontId="10" fillId="0" borderId="0" xfId="0" applyNumberFormat="1" applyFont="1" applyAlignment="1">
      <alignment horizontal="right"/>
    </xf>
    <xf numFmtId="0" fontId="5" fillId="0" borderId="0" xfId="0" applyFont="1" applyAlignment="1">
      <alignment horizontal="right"/>
    </xf>
    <xf numFmtId="1" fontId="5" fillId="0" borderId="0" xfId="0" applyNumberFormat="1" applyFont="1" applyFill="1" applyAlignment="1">
      <alignment horizontal="right"/>
    </xf>
    <xf numFmtId="1" fontId="9" fillId="0" borderId="0" xfId="0" applyNumberFormat="1" applyFont="1" applyFill="1" applyAlignment="1">
      <alignment horizontal="right"/>
    </xf>
    <xf numFmtId="1" fontId="10" fillId="0" borderId="0" xfId="0" applyNumberFormat="1" applyFont="1" applyFill="1" applyAlignment="1">
      <alignment horizontal="right"/>
    </xf>
    <xf numFmtId="1" fontId="9" fillId="0" borderId="3" xfId="0" applyNumberFormat="1" applyFont="1" applyBorder="1" applyAlignment="1">
      <alignment horizontal="right"/>
    </xf>
    <xf numFmtId="1" fontId="10" fillId="0" borderId="3" xfId="0" applyNumberFormat="1" applyFont="1" applyBorder="1" applyAlignment="1">
      <alignment horizontal="right"/>
    </xf>
    <xf numFmtId="0" fontId="0" fillId="0" borderId="0" xfId="0" applyFont="1" applyAlignment="1">
      <alignment horizontal="right"/>
    </xf>
    <xf numFmtId="0" fontId="10" fillId="0" borderId="0" xfId="0" applyFont="1" applyAlignment="1">
      <alignment horizontal="right"/>
    </xf>
    <xf numFmtId="0" fontId="5" fillId="0" borderId="2" xfId="0" applyFont="1" applyFill="1" applyBorder="1" applyAlignment="1">
      <alignment horizontal="right"/>
    </xf>
    <xf numFmtId="1" fontId="21" fillId="0" borderId="2" xfId="0" applyNumberFormat="1" applyFont="1" applyBorder="1" applyAlignment="1">
      <alignment horizontal="right"/>
    </xf>
    <xf numFmtId="1" fontId="5" fillId="0" borderId="2" xfId="0" applyNumberFormat="1" applyFont="1" applyBorder="1" applyAlignment="1">
      <alignment horizontal="right"/>
    </xf>
    <xf numFmtId="1" fontId="17" fillId="0" borderId="0" xfId="0" applyNumberFormat="1" applyFont="1" applyAlignment="1">
      <alignment horizontal="right" vertical="center"/>
    </xf>
    <xf numFmtId="1" fontId="2" fillId="0" borderId="0" xfId="0" applyNumberFormat="1" applyFont="1" applyFill="1" applyAlignment="1">
      <alignment horizontal="right"/>
    </xf>
    <xf numFmtId="1" fontId="3" fillId="0" borderId="0" xfId="0" applyNumberFormat="1" applyFont="1" applyFill="1" applyAlignment="1">
      <alignment horizontal="right"/>
    </xf>
    <xf numFmtId="1" fontId="22" fillId="0" borderId="3" xfId="0" applyNumberFormat="1" applyFont="1" applyBorder="1" applyAlignment="1">
      <alignment horizontal="right"/>
    </xf>
    <xf numFmtId="1" fontId="5" fillId="2" borderId="2" xfId="0" applyNumberFormat="1" applyFont="1" applyFill="1" applyBorder="1" applyAlignment="1">
      <alignment horizontal="right"/>
    </xf>
    <xf numFmtId="1" fontId="23" fillId="0" borderId="0" xfId="0" applyNumberFormat="1" applyFont="1" applyAlignment="1">
      <alignment horizontal="right" vertical="center"/>
    </xf>
    <xf numFmtId="1" fontId="12" fillId="0" borderId="0" xfId="0" applyNumberFormat="1" applyFont="1" applyFill="1" applyAlignment="1">
      <alignment horizontal="right"/>
    </xf>
    <xf numFmtId="1" fontId="12" fillId="0" borderId="3" xfId="0" applyNumberFormat="1" applyFont="1" applyBorder="1" applyAlignment="1">
      <alignment horizontal="right"/>
    </xf>
    <xf numFmtId="0" fontId="22" fillId="0" borderId="1" xfId="0" applyFont="1" applyBorder="1" applyAlignment="1"/>
    <xf numFmtId="1" fontId="18" fillId="0" borderId="5" xfId="0" applyNumberFormat="1" applyFont="1" applyBorder="1"/>
    <xf numFmtId="0" fontId="3" fillId="0" borderId="3" xfId="0" applyFont="1" applyBorder="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arliament.uk/documents/commons-resources/Members-Resource-Accounts-493.pdf" TargetMode="External"/><Relationship Id="rId13" Type="http://schemas.openxmlformats.org/officeDocument/2006/relationships/hyperlink" Target="http://bilancio.camera.it/5" TargetMode="External"/><Relationship Id="rId3" Type="http://schemas.openxmlformats.org/officeDocument/2006/relationships/hyperlink" Target="http://www.parliament.uk/documents/commons-resources/Administration-Resource-Accounts-492.pdf" TargetMode="External"/><Relationship Id="rId7" Type="http://schemas.openxmlformats.org/officeDocument/2006/relationships/hyperlink" Target="http://www.parliamentary-standards.org.uk/DataDownloads.aspx" TargetMode="External"/><Relationship Id="rId12" Type="http://schemas.openxmlformats.org/officeDocument/2006/relationships/hyperlink" Target="http://www.oecd-ilibrary.org/content/table/ppp-gdp-table-2013-3-en;jsessionid=1innhajht001i.x-oecd-live-01" TargetMode="External"/><Relationship Id="rId2" Type="http://schemas.openxmlformats.org/officeDocument/2006/relationships/hyperlink" Target="http://www.parliament.uk/documents/commons-resources/Members-Resource-Accounts-493.pdf" TargetMode="External"/><Relationship Id="rId1" Type="http://schemas.openxmlformats.org/officeDocument/2006/relationships/hyperlink" Target="http://www.parliamentary-standards.org.uk/DataDownloads.aspx" TargetMode="External"/><Relationship Id="rId6" Type="http://schemas.openxmlformats.org/officeDocument/2006/relationships/hyperlink" Target="http://www.oanda.com/currency/average" TargetMode="External"/><Relationship Id="rId11" Type="http://schemas.openxmlformats.org/officeDocument/2006/relationships/hyperlink" Target="http://www.oanda.com/currency/average" TargetMode="External"/><Relationship Id="rId5" Type="http://schemas.openxmlformats.org/officeDocument/2006/relationships/hyperlink" Target="http://www.oecd-ilibrary.org/content/table/ppp-gdp-table-2013-3-en;jsessionid=1innhajht001i.x-oecd-live-01" TargetMode="External"/><Relationship Id="rId15" Type="http://schemas.openxmlformats.org/officeDocument/2006/relationships/printerSettings" Target="../printerSettings/printerSettings1.bin"/><Relationship Id="rId10" Type="http://schemas.openxmlformats.org/officeDocument/2006/relationships/hyperlink" Target="http://www.official-documents.gov.uk/document/hc1213/hc04/0450/0450.pdf" TargetMode="External"/><Relationship Id="rId4" Type="http://schemas.openxmlformats.org/officeDocument/2006/relationships/hyperlink" Target="http://www.official-documents.gov.uk/document/hc1213/hc04/0450/0450.pdf" TargetMode="External"/><Relationship Id="rId9" Type="http://schemas.openxmlformats.org/officeDocument/2006/relationships/hyperlink" Target="http://www.parliament.uk/documents/commons-resources/Administration-Resource-Accounts-492.pdf" TargetMode="External"/><Relationship Id="rId14" Type="http://schemas.openxmlformats.org/officeDocument/2006/relationships/hyperlink" Target="http://bilancio.camera.it/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38"/>
  <sheetViews>
    <sheetView tabSelected="1" zoomScale="82" zoomScaleNormal="82"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48.5703125" customWidth="1"/>
    <col min="2" max="20" width="10.7109375" customWidth="1"/>
  </cols>
  <sheetData>
    <row r="1" spans="1:55" x14ac:dyDescent="0.25">
      <c r="B1" s="6"/>
      <c r="C1" s="7"/>
      <c r="D1" s="7"/>
      <c r="E1" s="84"/>
      <c r="F1" s="89"/>
      <c r="G1" s="83"/>
      <c r="H1" s="85"/>
      <c r="I1" s="85"/>
      <c r="J1" s="85"/>
      <c r="K1" s="85"/>
      <c r="L1" s="83"/>
      <c r="M1" s="85"/>
      <c r="N1" s="85"/>
      <c r="O1" s="85"/>
      <c r="P1" s="89"/>
      <c r="Q1" s="99"/>
      <c r="S1" s="2"/>
      <c r="T1" s="27"/>
      <c r="U1" s="23"/>
      <c r="V1" s="99"/>
      <c r="X1" s="2"/>
      <c r="Y1" s="27"/>
      <c r="Z1" s="48"/>
      <c r="AA1" s="4"/>
      <c r="AC1" s="2"/>
      <c r="AD1" s="27"/>
      <c r="AE1" s="67"/>
      <c r="AF1" s="99"/>
      <c r="AG1" s="23"/>
      <c r="AH1" s="2"/>
      <c r="AI1" s="27"/>
      <c r="AJ1" s="67"/>
      <c r="AK1" s="99"/>
      <c r="AL1" s="23"/>
      <c r="AM1" s="2"/>
      <c r="AN1" s="27"/>
      <c r="AO1" s="67"/>
      <c r="AP1" s="99"/>
      <c r="AQ1" s="23"/>
      <c r="AR1" s="2"/>
      <c r="AS1" s="27"/>
      <c r="AT1" s="67"/>
      <c r="AU1" s="33"/>
    </row>
    <row r="2" spans="1:55" x14ac:dyDescent="0.25">
      <c r="B2" s="46"/>
      <c r="C2" s="86"/>
      <c r="D2" s="9" t="s">
        <v>190</v>
      </c>
      <c r="E2" s="87"/>
      <c r="F2" s="90"/>
      <c r="G2" s="46"/>
      <c r="H2" s="86"/>
      <c r="I2" s="9" t="s">
        <v>190</v>
      </c>
      <c r="J2" s="87"/>
      <c r="K2" s="88"/>
      <c r="L2" s="46"/>
      <c r="M2" s="86"/>
      <c r="N2" s="9" t="s">
        <v>190</v>
      </c>
      <c r="O2" s="87"/>
      <c r="P2" s="90"/>
      <c r="Q2" s="100"/>
      <c r="R2" s="70" t="s">
        <v>173</v>
      </c>
      <c r="T2" s="71"/>
      <c r="U2" s="102"/>
      <c r="V2" s="100"/>
      <c r="W2" s="70" t="s">
        <v>174</v>
      </c>
      <c r="Y2" s="71"/>
      <c r="Z2" s="216"/>
      <c r="AA2" s="69"/>
      <c r="AB2" s="70" t="s">
        <v>175</v>
      </c>
      <c r="AD2" s="72"/>
      <c r="AE2" s="71"/>
      <c r="AF2" s="106"/>
      <c r="AG2" s="104" t="s">
        <v>173</v>
      </c>
      <c r="AI2" s="72"/>
      <c r="AJ2" s="71"/>
      <c r="AK2" s="106"/>
      <c r="AL2" s="104" t="s">
        <v>174</v>
      </c>
      <c r="AN2" s="72"/>
      <c r="AO2" s="71"/>
      <c r="AP2" s="106"/>
      <c r="AQ2" s="104" t="s">
        <v>239</v>
      </c>
      <c r="AS2" s="72"/>
      <c r="AT2" s="71"/>
      <c r="AU2" s="106"/>
    </row>
    <row r="3" spans="1:55" x14ac:dyDescent="0.25">
      <c r="B3" s="8"/>
      <c r="C3" s="73"/>
      <c r="D3" s="10">
        <v>2011</v>
      </c>
      <c r="E3" s="74"/>
      <c r="F3" s="89"/>
      <c r="G3" s="8"/>
      <c r="H3" s="73"/>
      <c r="I3" s="10">
        <v>2012</v>
      </c>
      <c r="J3" s="74"/>
      <c r="K3" s="85"/>
      <c r="L3" s="8"/>
      <c r="M3" s="73"/>
      <c r="N3" s="10">
        <v>2013</v>
      </c>
      <c r="O3" s="74"/>
      <c r="P3" s="89"/>
      <c r="Q3" s="101"/>
      <c r="R3" s="73"/>
      <c r="S3" s="76">
        <v>2011</v>
      </c>
      <c r="T3" s="77"/>
      <c r="U3" s="85"/>
      <c r="V3" s="101"/>
      <c r="W3" s="73"/>
      <c r="X3" s="76">
        <v>2011</v>
      </c>
      <c r="Y3" s="77"/>
      <c r="Z3" s="96"/>
      <c r="AA3" s="75"/>
      <c r="AB3" s="73"/>
      <c r="AC3" s="76">
        <v>2011</v>
      </c>
      <c r="AD3" s="78"/>
      <c r="AE3" s="77"/>
      <c r="AF3" s="83"/>
      <c r="AG3" s="105"/>
      <c r="AH3" s="76">
        <v>2012</v>
      </c>
      <c r="AI3" s="78"/>
      <c r="AJ3" s="77"/>
      <c r="AK3" s="83"/>
      <c r="AL3" s="105"/>
      <c r="AM3" s="76">
        <v>2012</v>
      </c>
      <c r="AN3" s="78"/>
      <c r="AO3" s="77"/>
      <c r="AP3" s="83"/>
      <c r="AQ3" s="105"/>
      <c r="AR3" s="76">
        <v>2012</v>
      </c>
      <c r="AS3" s="78"/>
      <c r="AT3" s="77"/>
      <c r="AU3" s="83"/>
      <c r="AV3" s="73"/>
      <c r="AW3" s="73"/>
      <c r="AX3" s="73"/>
      <c r="AY3" s="73"/>
      <c r="AZ3" s="73"/>
      <c r="BA3" s="73"/>
      <c r="BB3" s="73"/>
      <c r="BC3" s="73"/>
    </row>
    <row r="4" spans="1:55" x14ac:dyDescent="0.25">
      <c r="B4" s="6"/>
      <c r="D4" s="7"/>
      <c r="E4" s="21" t="s">
        <v>192</v>
      </c>
      <c r="F4" s="67" t="s">
        <v>191</v>
      </c>
      <c r="G4" s="6"/>
      <c r="I4" s="7"/>
      <c r="J4" s="21" t="s">
        <v>192</v>
      </c>
      <c r="K4" s="67" t="s">
        <v>191</v>
      </c>
      <c r="L4" s="6"/>
      <c r="N4" s="7"/>
      <c r="O4" s="21" t="s">
        <v>192</v>
      </c>
      <c r="P4" s="67" t="s">
        <v>191</v>
      </c>
      <c r="Q4" s="99"/>
      <c r="S4" s="2"/>
      <c r="T4" s="21" t="s">
        <v>192</v>
      </c>
      <c r="U4" s="67" t="s">
        <v>191</v>
      </c>
      <c r="V4" s="99"/>
      <c r="X4" s="2"/>
      <c r="Y4" s="21" t="s">
        <v>192</v>
      </c>
      <c r="Z4" s="48" t="s">
        <v>191</v>
      </c>
      <c r="AA4" s="4"/>
      <c r="AC4" s="2"/>
      <c r="AD4" s="21" t="s">
        <v>192</v>
      </c>
      <c r="AE4" s="67" t="s">
        <v>191</v>
      </c>
      <c r="AF4" s="99"/>
      <c r="AG4" s="23"/>
      <c r="AH4" s="2"/>
      <c r="AI4" s="21" t="s">
        <v>192</v>
      </c>
      <c r="AJ4" s="67" t="s">
        <v>191</v>
      </c>
      <c r="AK4" s="99"/>
      <c r="AL4" s="23"/>
      <c r="AM4" s="2"/>
      <c r="AN4" s="21" t="s">
        <v>192</v>
      </c>
      <c r="AO4" s="67" t="s">
        <v>191</v>
      </c>
      <c r="AP4" s="99"/>
      <c r="AQ4" s="23"/>
      <c r="AR4" s="2"/>
      <c r="AS4" s="21" t="s">
        <v>192</v>
      </c>
      <c r="AT4" s="67" t="s">
        <v>191</v>
      </c>
      <c r="AU4" s="33"/>
    </row>
    <row r="5" spans="1:55" x14ac:dyDescent="0.25">
      <c r="B5" s="108"/>
      <c r="C5" s="109"/>
      <c r="D5" s="109"/>
      <c r="E5" s="21"/>
      <c r="F5" s="67"/>
      <c r="G5" s="54"/>
      <c r="H5" s="55"/>
      <c r="I5" s="55"/>
      <c r="J5" s="21"/>
      <c r="K5" s="67"/>
      <c r="L5" s="154"/>
      <c r="M5" s="173"/>
      <c r="N5" s="173"/>
      <c r="O5" s="21"/>
      <c r="P5" s="67"/>
      <c r="Q5" s="175"/>
      <c r="R5" s="123"/>
      <c r="S5" s="124"/>
      <c r="T5" s="27"/>
      <c r="U5" s="67"/>
      <c r="V5" s="99"/>
      <c r="W5" s="1"/>
      <c r="X5" s="2"/>
      <c r="Y5" s="27"/>
      <c r="Z5" s="48"/>
      <c r="AA5" s="4"/>
      <c r="AB5" s="16"/>
      <c r="AC5" s="2"/>
      <c r="AD5" s="27"/>
      <c r="AE5" s="67"/>
      <c r="AF5" s="175"/>
      <c r="AG5" s="123"/>
      <c r="AH5" s="124"/>
      <c r="AI5" s="27"/>
      <c r="AJ5" s="67"/>
      <c r="AK5" s="175"/>
      <c r="AL5" s="123"/>
      <c r="AM5" s="204"/>
      <c r="AN5" s="27"/>
      <c r="AO5" s="67"/>
      <c r="AP5" s="121"/>
      <c r="AQ5" s="122"/>
      <c r="AR5" s="122"/>
      <c r="AT5" s="2"/>
      <c r="AU5" s="33"/>
    </row>
    <row r="6" spans="1:55" x14ac:dyDescent="0.25">
      <c r="B6" s="108"/>
      <c r="C6" s="110"/>
      <c r="D6" s="111"/>
      <c r="E6" s="22"/>
      <c r="F6" s="67"/>
      <c r="G6" s="54"/>
      <c r="H6" s="56"/>
      <c r="I6" s="36"/>
      <c r="J6" s="22"/>
      <c r="K6" s="67"/>
      <c r="L6" s="154"/>
      <c r="M6" s="115"/>
      <c r="N6" s="150"/>
      <c r="O6" s="22"/>
      <c r="P6" s="67"/>
      <c r="Q6" s="175"/>
      <c r="R6" s="123"/>
      <c r="S6" s="124"/>
      <c r="T6" s="27"/>
      <c r="U6" s="67"/>
      <c r="V6" s="99"/>
      <c r="W6" s="1"/>
      <c r="X6" s="2"/>
      <c r="Y6" s="27"/>
      <c r="Z6" s="48"/>
      <c r="AA6" s="4"/>
      <c r="AB6" s="16"/>
      <c r="AC6" s="2"/>
      <c r="AD6" s="27"/>
      <c r="AE6" s="67"/>
      <c r="AF6" s="175"/>
      <c r="AG6" s="123"/>
      <c r="AH6" s="124"/>
      <c r="AI6" s="27"/>
      <c r="AJ6" s="67"/>
      <c r="AK6" s="175"/>
      <c r="AL6" s="123"/>
      <c r="AM6" s="204"/>
      <c r="AN6" s="27"/>
      <c r="AO6" s="67"/>
      <c r="AP6" s="121"/>
      <c r="AQ6" s="122"/>
      <c r="AR6" s="122"/>
      <c r="AT6" s="2"/>
      <c r="AU6" s="33"/>
    </row>
    <row r="7" spans="1:55" x14ac:dyDescent="0.25">
      <c r="A7" s="4" t="s">
        <v>8</v>
      </c>
      <c r="B7" s="112">
        <f>SUM(C9:C26)</f>
        <v>153567</v>
      </c>
      <c r="C7" s="110"/>
      <c r="D7" s="111"/>
      <c r="E7" s="22"/>
      <c r="F7" s="67"/>
      <c r="G7" s="112">
        <f>SUM(H9:H26)</f>
        <v>149815.95924881464</v>
      </c>
      <c r="H7" s="115"/>
      <c r="I7" s="150"/>
      <c r="J7" s="22"/>
      <c r="K7" s="67"/>
      <c r="L7" s="112">
        <f>SUM(M9:M26)</f>
        <v>147760</v>
      </c>
      <c r="M7" s="115"/>
      <c r="N7" s="150"/>
      <c r="O7" s="22"/>
      <c r="P7" s="67"/>
      <c r="Q7" s="175">
        <f>SUM(R9:R26)</f>
        <v>148763</v>
      </c>
      <c r="R7" s="123"/>
      <c r="S7" s="124"/>
      <c r="T7" s="27"/>
      <c r="U7" s="67"/>
      <c r="V7" s="79">
        <f>Q7*1.1723</f>
        <v>174394.86489999999</v>
      </c>
      <c r="W7" s="182"/>
      <c r="X7" s="182"/>
      <c r="Y7" s="27"/>
      <c r="Z7" s="48"/>
      <c r="AA7" s="192">
        <f>Q7*1.1525</f>
        <v>171449.35750000001</v>
      </c>
      <c r="AB7" s="193"/>
      <c r="AC7" s="159"/>
      <c r="AD7" s="27"/>
      <c r="AE7" s="67"/>
      <c r="AF7" s="175">
        <f>SUM(AG9:AG26)</f>
        <v>155275</v>
      </c>
      <c r="AG7" s="123"/>
      <c r="AH7" s="124"/>
      <c r="AI7" s="27"/>
      <c r="AJ7" s="67"/>
      <c r="AK7" s="207">
        <f>AF7*0.791/0.681</f>
        <v>180356.13069016152</v>
      </c>
      <c r="AL7" s="158"/>
      <c r="AM7" s="196"/>
      <c r="AN7" s="27"/>
      <c r="AO7" s="67"/>
      <c r="AP7" s="206">
        <f>AF7*1.23305</f>
        <v>191461.83875</v>
      </c>
      <c r="AQ7" s="157"/>
      <c r="AR7" s="157"/>
      <c r="AT7" s="2"/>
      <c r="AU7" s="33"/>
    </row>
    <row r="8" spans="1:55" x14ac:dyDescent="0.25">
      <c r="A8" s="3"/>
      <c r="B8" s="113"/>
      <c r="C8" s="110"/>
      <c r="D8" s="111"/>
      <c r="E8" s="22"/>
      <c r="F8" s="67"/>
      <c r="G8" s="151"/>
      <c r="H8" s="115"/>
      <c r="I8" s="150"/>
      <c r="J8" s="22"/>
      <c r="K8" s="67"/>
      <c r="L8" s="151"/>
      <c r="M8" s="115"/>
      <c r="N8" s="150"/>
      <c r="O8" s="22"/>
      <c r="P8" s="67"/>
      <c r="Q8" s="175"/>
      <c r="R8" s="123"/>
      <c r="S8" s="124"/>
      <c r="T8" s="27"/>
      <c r="U8" s="67"/>
      <c r="V8" s="79"/>
      <c r="W8" s="182"/>
      <c r="X8" s="182"/>
      <c r="Y8" s="27"/>
      <c r="Z8" s="48"/>
      <c r="AA8" s="192"/>
      <c r="AB8" s="193"/>
      <c r="AC8" s="159"/>
      <c r="AD8" s="27"/>
      <c r="AE8" s="67"/>
      <c r="AF8" s="175"/>
      <c r="AG8" s="123"/>
      <c r="AH8" s="124"/>
      <c r="AI8" s="27"/>
      <c r="AJ8" s="67"/>
      <c r="AK8" s="207"/>
      <c r="AL8" s="158"/>
      <c r="AM8" s="196"/>
      <c r="AN8" s="27"/>
      <c r="AO8" s="67"/>
      <c r="AP8" s="206"/>
      <c r="AQ8" s="157"/>
      <c r="AR8" s="157"/>
      <c r="AT8" s="2"/>
      <c r="AU8" s="33"/>
    </row>
    <row r="9" spans="1:55" x14ac:dyDescent="0.25">
      <c r="A9" s="1" t="s">
        <v>219</v>
      </c>
      <c r="B9" s="114"/>
      <c r="C9" s="115">
        <f>SUM(D10:D13)</f>
        <v>116099.35020102593</v>
      </c>
      <c r="D9" s="111"/>
      <c r="E9" s="22"/>
      <c r="F9" s="67"/>
      <c r="G9" s="152"/>
      <c r="H9" s="115">
        <f>SUM(I10:I14)</f>
        <v>121039.54039480616</v>
      </c>
      <c r="I9" s="150"/>
      <c r="J9" s="22"/>
      <c r="K9" s="67"/>
      <c r="L9" s="152"/>
      <c r="M9" s="115">
        <f>SUM(N10:N14)</f>
        <v>122075</v>
      </c>
      <c r="N9" s="150"/>
      <c r="O9" s="22"/>
      <c r="P9" s="67"/>
      <c r="Q9" s="175"/>
      <c r="R9" s="123">
        <f>SUM(S10:S12)</f>
        <v>44331</v>
      </c>
      <c r="S9" s="124"/>
      <c r="T9" s="27"/>
      <c r="U9" s="67"/>
      <c r="V9" s="79"/>
      <c r="W9" s="59">
        <f t="shared" ref="W9:X39" si="0">R9*1.1723</f>
        <v>51969.231299999992</v>
      </c>
      <c r="X9" s="182"/>
      <c r="Y9" s="27"/>
      <c r="Z9" s="48"/>
      <c r="AA9" s="192"/>
      <c r="AB9" s="194">
        <f>R9*1.1525</f>
        <v>51091.477500000001</v>
      </c>
      <c r="AC9" s="159"/>
      <c r="AD9" s="27"/>
      <c r="AE9" s="67"/>
      <c r="AF9" s="175"/>
      <c r="AG9" s="123">
        <f>SUM(AH10:AH12)</f>
        <v>43817</v>
      </c>
      <c r="AH9" s="124"/>
      <c r="AI9" s="27"/>
      <c r="AJ9" s="67"/>
      <c r="AK9" s="207"/>
      <c r="AL9" s="194">
        <f>AG9*0.791/0.681</f>
        <v>50894.635829662264</v>
      </c>
      <c r="AM9" s="196"/>
      <c r="AN9" s="27"/>
      <c r="AO9" s="67"/>
      <c r="AP9" s="207"/>
      <c r="AQ9" s="158">
        <f>AG9*1.23305</f>
        <v>54028.551849999996</v>
      </c>
      <c r="AR9" s="159"/>
      <c r="AS9" s="27"/>
      <c r="AT9" s="67"/>
      <c r="AU9" s="33"/>
    </row>
    <row r="10" spans="1:55" x14ac:dyDescent="0.25">
      <c r="A10" s="2" t="s">
        <v>0</v>
      </c>
      <c r="B10" s="116"/>
      <c r="C10" s="110"/>
      <c r="D10" s="111">
        <v>87389</v>
      </c>
      <c r="E10" s="22" t="s">
        <v>67</v>
      </c>
      <c r="F10" s="67" t="s">
        <v>131</v>
      </c>
      <c r="G10" s="153"/>
      <c r="H10" s="115"/>
      <c r="I10" s="150">
        <v>78152</v>
      </c>
      <c r="J10" s="22" t="s">
        <v>67</v>
      </c>
      <c r="K10" s="67" t="s">
        <v>131</v>
      </c>
      <c r="L10" s="153" t="s">
        <v>49</v>
      </c>
      <c r="M10" s="115"/>
      <c r="N10" s="150">
        <v>78950</v>
      </c>
      <c r="O10" s="22" t="s">
        <v>67</v>
      </c>
      <c r="P10" s="67" t="s">
        <v>131</v>
      </c>
      <c r="Q10" s="175"/>
      <c r="R10" s="123"/>
      <c r="S10" s="124">
        <v>42597</v>
      </c>
      <c r="T10" s="27" t="s">
        <v>63</v>
      </c>
      <c r="U10" s="67" t="s">
        <v>131</v>
      </c>
      <c r="V10" s="79"/>
      <c r="W10" s="59"/>
      <c r="X10" s="40">
        <f t="shared" ref="X10:X25" si="1">S10*1.1723</f>
        <v>49936.463099999994</v>
      </c>
      <c r="Y10" s="27" t="s">
        <v>63</v>
      </c>
      <c r="Z10" s="48"/>
      <c r="AA10" s="192"/>
      <c r="AB10" s="195"/>
      <c r="AC10" s="196">
        <f t="shared" ref="AC10:AC12" si="2">S10*1.1525</f>
        <v>49093.042500000003</v>
      </c>
      <c r="AD10" s="27" t="s">
        <v>63</v>
      </c>
      <c r="AE10" s="67"/>
      <c r="AF10" s="175"/>
      <c r="AG10" s="123"/>
      <c r="AH10" s="124">
        <v>42794</v>
      </c>
      <c r="AI10" s="27" t="s">
        <v>63</v>
      </c>
      <c r="AJ10" s="67" t="s">
        <v>131</v>
      </c>
      <c r="AK10" s="207" t="s">
        <v>49</v>
      </c>
      <c r="AL10" s="194"/>
      <c r="AM10" s="196">
        <f>AH10*0.791/0.681</f>
        <v>49706.393538913362</v>
      </c>
      <c r="AN10" s="27" t="s">
        <v>63</v>
      </c>
      <c r="AO10" s="67" t="s">
        <v>131</v>
      </c>
      <c r="AP10" s="207"/>
      <c r="AQ10" s="158"/>
      <c r="AR10" s="159">
        <f t="shared" ref="AR10:AR12" si="3">AH10*1.23305</f>
        <v>52767.1417</v>
      </c>
      <c r="AS10" s="27" t="s">
        <v>63</v>
      </c>
      <c r="AT10" s="67" t="s">
        <v>131</v>
      </c>
      <c r="AU10" s="33"/>
    </row>
    <row r="11" spans="1:55" x14ac:dyDescent="0.25">
      <c r="A11" s="2" t="s">
        <v>1</v>
      </c>
      <c r="B11" s="116"/>
      <c r="C11" s="110"/>
      <c r="D11" s="111">
        <v>3395</v>
      </c>
      <c r="E11" s="22" t="s">
        <v>69</v>
      </c>
      <c r="F11" s="67" t="s">
        <v>131</v>
      </c>
      <c r="G11" s="153"/>
      <c r="H11" s="115"/>
      <c r="I11" s="150">
        <v>3110</v>
      </c>
      <c r="J11" s="22" t="s">
        <v>227</v>
      </c>
      <c r="K11" s="67" t="s">
        <v>131</v>
      </c>
      <c r="L11" s="153" t="s">
        <v>49</v>
      </c>
      <c r="M11" s="115"/>
      <c r="N11" s="150">
        <v>2510</v>
      </c>
      <c r="O11" s="22" t="s">
        <v>227</v>
      </c>
      <c r="P11" s="67" t="s">
        <v>131</v>
      </c>
      <c r="Q11" s="175"/>
      <c r="R11" s="123"/>
      <c r="S11" s="124">
        <f>114+803</f>
        <v>917</v>
      </c>
      <c r="T11" s="27" t="s">
        <v>66</v>
      </c>
      <c r="U11" s="67" t="s">
        <v>131</v>
      </c>
      <c r="V11" s="79"/>
      <c r="W11" s="59"/>
      <c r="X11" s="40">
        <f t="shared" si="1"/>
        <v>1074.9991</v>
      </c>
      <c r="Y11" s="27" t="s">
        <v>66</v>
      </c>
      <c r="Z11" s="48"/>
      <c r="AA11" s="192"/>
      <c r="AB11" s="195"/>
      <c r="AC11" s="196">
        <f t="shared" si="2"/>
        <v>1056.8425</v>
      </c>
      <c r="AD11" s="27" t="s">
        <v>66</v>
      </c>
      <c r="AE11" s="67"/>
      <c r="AF11" s="175"/>
      <c r="AG11" s="123"/>
      <c r="AH11" s="124">
        <f>114+840</f>
        <v>954</v>
      </c>
      <c r="AI11" s="27" t="s">
        <v>66</v>
      </c>
      <c r="AJ11" s="67" t="s">
        <v>131</v>
      </c>
      <c r="AK11" s="207" t="s">
        <v>49</v>
      </c>
      <c r="AL11" s="194"/>
      <c r="AM11" s="196">
        <f>AH11*0.791/0.681</f>
        <v>1108.0969162995593</v>
      </c>
      <c r="AN11" s="27" t="s">
        <v>66</v>
      </c>
      <c r="AO11" s="67" t="s">
        <v>131</v>
      </c>
      <c r="AP11" s="207"/>
      <c r="AQ11" s="158"/>
      <c r="AR11" s="159">
        <f t="shared" si="3"/>
        <v>1176.3297</v>
      </c>
      <c r="AS11" s="27" t="s">
        <v>66</v>
      </c>
      <c r="AT11" s="67" t="s">
        <v>131</v>
      </c>
      <c r="AU11" s="33"/>
    </row>
    <row r="12" spans="1:55" x14ac:dyDescent="0.25">
      <c r="A12" s="2" t="s">
        <v>209</v>
      </c>
      <c r="B12" s="116"/>
      <c r="C12" s="110"/>
      <c r="D12" s="111">
        <v>117</v>
      </c>
      <c r="E12" s="22" t="s">
        <v>68</v>
      </c>
      <c r="F12" s="67" t="s">
        <v>131</v>
      </c>
      <c r="G12" s="153"/>
      <c r="H12" s="115"/>
      <c r="I12" s="150">
        <v>116</v>
      </c>
      <c r="J12" s="22" t="s">
        <v>228</v>
      </c>
      <c r="K12" s="67" t="s">
        <v>131</v>
      </c>
      <c r="L12" s="153" t="s">
        <v>49</v>
      </c>
      <c r="M12" s="115"/>
      <c r="N12" s="150">
        <v>165</v>
      </c>
      <c r="O12" s="22" t="s">
        <v>228</v>
      </c>
      <c r="P12" s="67" t="s">
        <v>131</v>
      </c>
      <c r="Q12" s="175"/>
      <c r="R12" s="123"/>
      <c r="S12" s="124">
        <f>34+903-120</f>
        <v>817</v>
      </c>
      <c r="T12" s="27" t="s">
        <v>158</v>
      </c>
      <c r="U12" s="67" t="s">
        <v>131</v>
      </c>
      <c r="V12" s="79"/>
      <c r="W12" s="59"/>
      <c r="X12" s="40">
        <f t="shared" si="1"/>
        <v>957.76909999999987</v>
      </c>
      <c r="Y12" s="27" t="s">
        <v>158</v>
      </c>
      <c r="Z12" s="48"/>
      <c r="AA12" s="192"/>
      <c r="AB12" s="195"/>
      <c r="AC12" s="196">
        <f t="shared" si="2"/>
        <v>941.59250000000009</v>
      </c>
      <c r="AD12" s="27" t="s">
        <v>158</v>
      </c>
      <c r="AE12" s="67"/>
      <c r="AF12" s="175"/>
      <c r="AG12" s="123"/>
      <c r="AH12" s="178">
        <f>0+75-6</f>
        <v>69</v>
      </c>
      <c r="AI12" s="27" t="s">
        <v>158</v>
      </c>
      <c r="AJ12" s="67" t="s">
        <v>131</v>
      </c>
      <c r="AK12" s="207" t="s">
        <v>49</v>
      </c>
      <c r="AL12" s="194"/>
      <c r="AM12" s="196">
        <f>AH12*0.791/0.681</f>
        <v>80.145374449339201</v>
      </c>
      <c r="AN12" s="27" t="s">
        <v>158</v>
      </c>
      <c r="AO12" s="67" t="s">
        <v>131</v>
      </c>
      <c r="AP12" s="207"/>
      <c r="AQ12" s="158"/>
      <c r="AR12" s="159">
        <f t="shared" si="3"/>
        <v>85.080449999999999</v>
      </c>
      <c r="AS12" s="27" t="s">
        <v>158</v>
      </c>
      <c r="AT12" s="67" t="s">
        <v>131</v>
      </c>
      <c r="AU12" s="33"/>
    </row>
    <row r="13" spans="1:55" x14ac:dyDescent="0.25">
      <c r="A13" s="2" t="s">
        <v>203</v>
      </c>
      <c r="B13" s="108"/>
      <c r="C13" s="110"/>
      <c r="D13" s="117">
        <f>26495*(69300-7560)/(26495+8448+27871+2103)</f>
        <v>25198.350201025925</v>
      </c>
      <c r="E13" s="22" t="s">
        <v>70</v>
      </c>
      <c r="F13" s="67" t="s">
        <v>243</v>
      </c>
      <c r="G13" s="154"/>
      <c r="H13" s="115"/>
      <c r="I13" s="117">
        <f>26513*(67486)/(26495+8448+4650+22832+2113)</f>
        <v>27724.074467755432</v>
      </c>
      <c r="J13" s="22" t="s">
        <v>70</v>
      </c>
      <c r="K13" s="67" t="s">
        <v>243</v>
      </c>
      <c r="L13" s="154" t="s">
        <v>49</v>
      </c>
      <c r="M13" s="115"/>
      <c r="N13" s="118">
        <v>26500</v>
      </c>
      <c r="O13" s="22" t="s">
        <v>70</v>
      </c>
      <c r="P13" s="67" t="s">
        <v>243</v>
      </c>
      <c r="Q13" s="175"/>
      <c r="R13" s="123"/>
      <c r="S13" s="124"/>
      <c r="T13" s="27"/>
      <c r="U13" s="67"/>
      <c r="V13" s="79"/>
      <c r="W13" s="59"/>
      <c r="X13" s="40"/>
      <c r="Y13" s="27"/>
      <c r="Z13" s="48"/>
      <c r="AA13" s="192"/>
      <c r="AB13" s="195"/>
      <c r="AC13" s="196"/>
      <c r="AD13" s="27"/>
      <c r="AE13" s="67"/>
      <c r="AF13" s="175"/>
      <c r="AG13" s="123"/>
      <c r="AH13" s="124"/>
      <c r="AI13" s="27"/>
      <c r="AJ13" s="67"/>
      <c r="AK13" s="207"/>
      <c r="AL13" s="194"/>
      <c r="AM13" s="196"/>
      <c r="AN13" s="27"/>
      <c r="AO13" s="67"/>
      <c r="AP13" s="207"/>
      <c r="AQ13" s="158"/>
      <c r="AR13" s="159"/>
      <c r="AS13" s="27"/>
      <c r="AT13" s="67"/>
      <c r="AU13" s="33"/>
    </row>
    <row r="14" spans="1:55" x14ac:dyDescent="0.25">
      <c r="A14" s="2" t="s">
        <v>244</v>
      </c>
      <c r="B14" s="108"/>
      <c r="C14" s="110"/>
      <c r="D14" s="118"/>
      <c r="E14" s="22"/>
      <c r="F14" s="67"/>
      <c r="G14" s="154"/>
      <c r="H14" s="115"/>
      <c r="I14" s="117">
        <f>0.5*22832*(67486)/(26495+8448+4650+22832+2113)</f>
        <v>11937.465927050729</v>
      </c>
      <c r="J14" s="22" t="s">
        <v>70</v>
      </c>
      <c r="K14" s="95" t="s">
        <v>251</v>
      </c>
      <c r="L14" s="154" t="s">
        <v>49</v>
      </c>
      <c r="M14" s="115"/>
      <c r="N14" s="118">
        <f>0.5*27900</f>
        <v>13950</v>
      </c>
      <c r="O14" s="22" t="s">
        <v>70</v>
      </c>
      <c r="P14" s="98" t="s">
        <v>252</v>
      </c>
      <c r="Q14" s="175" t="s">
        <v>49</v>
      </c>
      <c r="R14" s="123"/>
      <c r="S14" s="124"/>
      <c r="T14" s="27"/>
      <c r="U14" s="67"/>
      <c r="V14" s="79"/>
      <c r="W14" s="59"/>
      <c r="X14" s="40"/>
      <c r="Y14" s="27"/>
      <c r="Z14" s="48"/>
      <c r="AA14" s="192"/>
      <c r="AB14" s="195"/>
      <c r="AC14" s="196"/>
      <c r="AD14" s="27"/>
      <c r="AE14" s="67"/>
      <c r="AF14" s="175"/>
      <c r="AG14" s="123"/>
      <c r="AH14" s="124"/>
      <c r="AI14" s="27"/>
      <c r="AJ14" s="67"/>
      <c r="AK14" s="207"/>
      <c r="AL14" s="194"/>
      <c r="AM14" s="196"/>
      <c r="AN14" s="27"/>
      <c r="AO14" s="67"/>
      <c r="AP14" s="207"/>
      <c r="AQ14" s="158"/>
      <c r="AR14" s="159"/>
      <c r="AS14" s="27"/>
      <c r="AT14" s="67"/>
      <c r="AU14" s="33"/>
    </row>
    <row r="15" spans="1:55" x14ac:dyDescent="0.25">
      <c r="A15" s="2"/>
      <c r="B15" s="108"/>
      <c r="C15" s="110"/>
      <c r="D15" s="118"/>
      <c r="E15" s="22"/>
      <c r="F15" s="67"/>
      <c r="G15" s="154"/>
      <c r="H15" s="115"/>
      <c r="I15" s="150"/>
      <c r="J15" s="22"/>
      <c r="K15" s="67"/>
      <c r="L15" s="154"/>
      <c r="M15" s="115"/>
      <c r="N15" s="118"/>
      <c r="O15" s="22"/>
      <c r="P15" s="67"/>
      <c r="Q15" s="175"/>
      <c r="R15" s="123"/>
      <c r="S15" s="124"/>
      <c r="T15" s="27"/>
      <c r="U15" s="67"/>
      <c r="V15" s="79"/>
      <c r="W15" s="59"/>
      <c r="X15" s="40"/>
      <c r="Y15" s="27"/>
      <c r="Z15" s="48"/>
      <c r="AA15" s="192"/>
      <c r="AB15" s="195"/>
      <c r="AC15" s="196"/>
      <c r="AD15" s="27"/>
      <c r="AE15" s="67"/>
      <c r="AF15" s="175"/>
      <c r="AG15" s="123"/>
      <c r="AH15" s="124"/>
      <c r="AI15" s="27"/>
      <c r="AJ15" s="67"/>
      <c r="AK15" s="207"/>
      <c r="AL15" s="194"/>
      <c r="AM15" s="196"/>
      <c r="AN15" s="27"/>
      <c r="AO15" s="67"/>
      <c r="AP15" s="207"/>
      <c r="AQ15" s="158"/>
      <c r="AR15" s="159"/>
      <c r="AS15" s="27"/>
      <c r="AT15" s="67"/>
      <c r="AU15" s="33"/>
    </row>
    <row r="16" spans="1:55" x14ac:dyDescent="0.25">
      <c r="A16" s="1" t="s">
        <v>218</v>
      </c>
      <c r="B16" s="114"/>
      <c r="C16" s="115">
        <f>SUM(D17:D20)</f>
        <v>36541.649798974075</v>
      </c>
      <c r="D16" s="118"/>
      <c r="E16" s="22"/>
      <c r="F16" s="67"/>
      <c r="G16" s="152"/>
      <c r="H16" s="115">
        <f>SUM(I17:I21)</f>
        <v>27846.418854008491</v>
      </c>
      <c r="I16" s="150"/>
      <c r="J16" s="22"/>
      <c r="K16" s="67"/>
      <c r="L16" s="152"/>
      <c r="M16" s="115">
        <f>SUM(N17:N21)</f>
        <v>24675</v>
      </c>
      <c r="N16" s="118"/>
      <c r="O16" s="22"/>
      <c r="P16" s="67"/>
      <c r="Q16" s="175"/>
      <c r="R16" s="123">
        <f>SUM(S17:S21)</f>
        <v>90751</v>
      </c>
      <c r="S16" s="124"/>
      <c r="T16" s="27"/>
      <c r="U16" s="67"/>
      <c r="V16" s="79"/>
      <c r="W16" s="59">
        <f t="shared" si="0"/>
        <v>106387.3973</v>
      </c>
      <c r="X16" s="40"/>
      <c r="Y16" s="27"/>
      <c r="Z16" s="48"/>
      <c r="AA16" s="192"/>
      <c r="AB16" s="194">
        <f>R16*1.1525</f>
        <v>104590.52750000001</v>
      </c>
      <c r="AC16" s="196"/>
      <c r="AD16" s="27"/>
      <c r="AE16" s="67"/>
      <c r="AF16" s="175"/>
      <c r="AG16" s="123">
        <f>SUM(AH17:AH21)</f>
        <v>97739</v>
      </c>
      <c r="AH16" s="124"/>
      <c r="AI16" s="27"/>
      <c r="AJ16" s="67"/>
      <c r="AK16" s="207"/>
      <c r="AL16" s="194">
        <f>AG16*0.791/0.681</f>
        <v>113526.50367107194</v>
      </c>
      <c r="AM16" s="196"/>
      <c r="AN16" s="27"/>
      <c r="AO16" s="67"/>
      <c r="AP16" s="207"/>
      <c r="AQ16" s="158">
        <f>AG16*1.23305</f>
        <v>120517.07394999999</v>
      </c>
      <c r="AR16" s="159"/>
      <c r="AS16" s="27"/>
      <c r="AT16" s="67"/>
      <c r="AU16" s="33"/>
    </row>
    <row r="17" spans="1:47" x14ac:dyDescent="0.25">
      <c r="A17" s="2" t="s">
        <v>50</v>
      </c>
      <c r="B17" s="116"/>
      <c r="C17" s="110"/>
      <c r="D17" s="117">
        <f>8448*(69300-7560)/(26495+8448+27871+2103)</f>
        <v>8034.5598225426311</v>
      </c>
      <c r="E17" s="22" t="s">
        <v>70</v>
      </c>
      <c r="F17" s="67"/>
      <c r="G17" s="153"/>
      <c r="H17" s="115"/>
      <c r="I17" s="117">
        <f>8450*(67486)/(26495+8448+4650+22832+2113)</f>
        <v>8835.9834516099036</v>
      </c>
      <c r="J17" s="22" t="s">
        <v>70</v>
      </c>
      <c r="K17" s="67"/>
      <c r="L17" s="153"/>
      <c r="M17" s="115"/>
      <c r="N17" s="118">
        <v>8700</v>
      </c>
      <c r="O17" s="22" t="s">
        <v>70</v>
      </c>
      <c r="P17" s="67"/>
      <c r="Q17" s="175"/>
      <c r="R17" s="123"/>
      <c r="S17" s="124">
        <f>1+4366</f>
        <v>4367</v>
      </c>
      <c r="T17" s="27" t="s">
        <v>64</v>
      </c>
      <c r="U17" s="67"/>
      <c r="V17" s="79"/>
      <c r="W17" s="59"/>
      <c r="X17" s="40">
        <f t="shared" si="1"/>
        <v>5119.4340999999995</v>
      </c>
      <c r="Y17" s="27" t="s">
        <v>64</v>
      </c>
      <c r="Z17" s="48"/>
      <c r="AA17" s="192"/>
      <c r="AB17" s="195"/>
      <c r="AC17" s="196">
        <f t="shared" ref="AC17" si="4">S17*1.1525</f>
        <v>5032.9675000000007</v>
      </c>
      <c r="AD17" s="27" t="s">
        <v>64</v>
      </c>
      <c r="AE17" s="67"/>
      <c r="AF17" s="175"/>
      <c r="AG17" s="123"/>
      <c r="AH17" s="124">
        <f>37+4215</f>
        <v>4252</v>
      </c>
      <c r="AI17" s="27" t="s">
        <v>64</v>
      </c>
      <c r="AJ17" s="67"/>
      <c r="AK17" s="207"/>
      <c r="AL17" s="194"/>
      <c r="AM17" s="196">
        <f>AH17*0.791/0.681</f>
        <v>4938.8135095447869</v>
      </c>
      <c r="AN17" s="27" t="s">
        <v>64</v>
      </c>
      <c r="AO17" s="67"/>
      <c r="AP17" s="207"/>
      <c r="AQ17" s="158"/>
      <c r="AR17" s="159">
        <f>AH17*1.23305</f>
        <v>5242.9286000000002</v>
      </c>
      <c r="AS17" s="27" t="s">
        <v>64</v>
      </c>
      <c r="AT17" s="67"/>
      <c r="AU17" s="33"/>
    </row>
    <row r="18" spans="1:47" x14ac:dyDescent="0.25">
      <c r="A18" s="2" t="s">
        <v>2</v>
      </c>
      <c r="B18" s="116"/>
      <c r="C18" s="110"/>
      <c r="D18" s="117">
        <f>27871*(69300-7560)/(26495+8448+27871+2103)</f>
        <v>26507.009566061279</v>
      </c>
      <c r="E18" s="22" t="s">
        <v>70</v>
      </c>
      <c r="F18" s="67"/>
      <c r="G18" s="153"/>
      <c r="H18" s="115"/>
      <c r="I18" s="117">
        <f>4650*(67486)/(26495+8448+4650+22832+2113)</f>
        <v>4862.4050946729058</v>
      </c>
      <c r="J18" s="22" t="s">
        <v>70</v>
      </c>
      <c r="K18" s="67"/>
      <c r="L18" s="153"/>
      <c r="M18" s="115"/>
      <c r="N18" s="118"/>
      <c r="O18" s="22" t="s">
        <v>70</v>
      </c>
      <c r="P18" s="67"/>
      <c r="Q18" s="175"/>
      <c r="R18" s="123"/>
      <c r="S18" s="124"/>
      <c r="T18" s="27"/>
      <c r="U18" s="67"/>
      <c r="V18" s="79"/>
      <c r="W18" s="59"/>
      <c r="X18" s="40"/>
      <c r="Y18" s="27"/>
      <c r="Z18" s="48"/>
      <c r="AA18" s="192"/>
      <c r="AB18" s="195"/>
      <c r="AC18" s="196"/>
      <c r="AD18" s="27"/>
      <c r="AE18" s="67"/>
      <c r="AF18" s="175"/>
      <c r="AG18" s="123"/>
      <c r="AH18" s="124"/>
      <c r="AI18" s="27"/>
      <c r="AJ18" s="67"/>
      <c r="AK18" s="207"/>
      <c r="AL18" s="194"/>
      <c r="AM18" s="196"/>
      <c r="AN18" s="27"/>
      <c r="AO18" s="67"/>
      <c r="AP18" s="207"/>
      <c r="AQ18" s="158"/>
      <c r="AR18" s="159"/>
      <c r="AS18" s="27"/>
      <c r="AT18" s="67"/>
      <c r="AU18" s="33"/>
    </row>
    <row r="19" spans="1:47" x14ac:dyDescent="0.25">
      <c r="A19" s="2" t="s">
        <v>207</v>
      </c>
      <c r="B19" s="116"/>
      <c r="C19" s="110"/>
      <c r="D19" s="119"/>
      <c r="F19" s="2"/>
      <c r="G19" s="153"/>
      <c r="H19" s="115"/>
      <c r="I19" s="155"/>
      <c r="K19" s="2"/>
      <c r="L19" s="153"/>
      <c r="M19" s="115"/>
      <c r="N19" s="118"/>
      <c r="P19" s="2"/>
      <c r="Q19" s="175"/>
      <c r="R19" s="123"/>
      <c r="S19" s="124">
        <f>6514+546</f>
        <v>7060</v>
      </c>
      <c r="T19" s="27" t="s">
        <v>65</v>
      </c>
      <c r="U19" s="67"/>
      <c r="V19" s="79"/>
      <c r="W19" s="59"/>
      <c r="X19" s="40">
        <f>S19*1.1723</f>
        <v>8276.4380000000001</v>
      </c>
      <c r="Y19" s="27" t="s">
        <v>65</v>
      </c>
      <c r="Z19" s="48"/>
      <c r="AA19" s="192"/>
      <c r="AB19" s="195"/>
      <c r="AC19" s="196">
        <f>S19*1.1525</f>
        <v>8136.6500000000005</v>
      </c>
      <c r="AD19" s="27" t="s">
        <v>65</v>
      </c>
      <c r="AE19" s="67"/>
      <c r="AF19" s="175"/>
      <c r="AG19" s="123"/>
      <c r="AH19" s="124">
        <f>6635+55</f>
        <v>6690</v>
      </c>
      <c r="AI19" s="27" t="s">
        <v>65</v>
      </c>
      <c r="AJ19" s="67"/>
      <c r="AK19" s="207"/>
      <c r="AL19" s="194"/>
      <c r="AM19" s="196">
        <f>AH19*0.791/0.681</f>
        <v>7770.616740088105</v>
      </c>
      <c r="AN19" s="27" t="s">
        <v>65</v>
      </c>
      <c r="AO19" s="67"/>
      <c r="AP19" s="207"/>
      <c r="AQ19" s="158"/>
      <c r="AR19" s="159">
        <f>AH19*1.23305</f>
        <v>8249.1044999999995</v>
      </c>
      <c r="AS19" s="27" t="s">
        <v>65</v>
      </c>
      <c r="AT19" s="67"/>
      <c r="AU19" s="33"/>
    </row>
    <row r="20" spans="1:47" x14ac:dyDescent="0.25">
      <c r="A20" s="2" t="s">
        <v>51</v>
      </c>
      <c r="B20" s="116"/>
      <c r="C20" s="110"/>
      <c r="D20" s="117">
        <f>2103*(69300-7560)/(26495+8448+27871+2103)</f>
        <v>2000.0804103701651</v>
      </c>
      <c r="E20" s="22" t="s">
        <v>70</v>
      </c>
      <c r="F20" s="67"/>
      <c r="G20" s="153"/>
      <c r="H20" s="115"/>
      <c r="I20" s="117">
        <f>2114*(67486)/(26495+8448+4650+22832+2113)</f>
        <v>2210.5643806749513</v>
      </c>
      <c r="J20" s="22" t="s">
        <v>70</v>
      </c>
      <c r="K20" s="67"/>
      <c r="L20" s="153"/>
      <c r="M20" s="115"/>
      <c r="N20" s="118">
        <v>2025</v>
      </c>
      <c r="O20" s="22" t="s">
        <v>70</v>
      </c>
      <c r="P20" s="67"/>
      <c r="Q20" s="175"/>
      <c r="R20" s="123"/>
      <c r="S20" s="124"/>
      <c r="T20" s="27"/>
      <c r="U20" s="67"/>
      <c r="V20" s="79"/>
      <c r="W20" s="59"/>
      <c r="X20" s="40"/>
      <c r="Y20" s="27"/>
      <c r="Z20" s="48"/>
      <c r="AA20" s="192"/>
      <c r="AB20" s="195"/>
      <c r="AC20" s="196"/>
      <c r="AD20" s="27"/>
      <c r="AE20" s="67"/>
      <c r="AF20" s="175"/>
      <c r="AG20" s="123"/>
      <c r="AH20" s="124"/>
      <c r="AI20" s="27"/>
      <c r="AJ20" s="67"/>
      <c r="AK20" s="207"/>
      <c r="AL20" s="194"/>
      <c r="AM20" s="196"/>
      <c r="AN20" s="27"/>
      <c r="AO20" s="67"/>
      <c r="AP20" s="207"/>
      <c r="AQ20" s="158"/>
      <c r="AR20" s="159"/>
      <c r="AS20" s="27"/>
      <c r="AT20" s="67"/>
      <c r="AU20" s="33"/>
    </row>
    <row r="21" spans="1:47" x14ac:dyDescent="0.25">
      <c r="A21" s="2" t="s">
        <v>244</v>
      </c>
      <c r="B21" s="116" t="s">
        <v>49</v>
      </c>
      <c r="C21" s="110"/>
      <c r="D21" s="120"/>
      <c r="E21" s="22"/>
      <c r="F21" s="67"/>
      <c r="G21" s="153" t="s">
        <v>49</v>
      </c>
      <c r="H21" s="115"/>
      <c r="I21" s="117">
        <f>0.5*22832*(67486)/(26495+8448+4650+22832+2113)</f>
        <v>11937.465927050729</v>
      </c>
      <c r="J21" s="22" t="s">
        <v>70</v>
      </c>
      <c r="K21" s="67" t="s">
        <v>245</v>
      </c>
      <c r="L21" s="153" t="s">
        <v>49</v>
      </c>
      <c r="M21" s="115"/>
      <c r="N21" s="118">
        <f>0.5*27900</f>
        <v>13950</v>
      </c>
      <c r="O21" s="22" t="s">
        <v>70</v>
      </c>
      <c r="P21" s="67" t="s">
        <v>245</v>
      </c>
      <c r="Q21" s="175"/>
      <c r="R21" s="123"/>
      <c r="S21" s="124">
        <f>9101+802+1873+109+14+63+591+66771</f>
        <v>79324</v>
      </c>
      <c r="T21" s="27" t="s">
        <v>202</v>
      </c>
      <c r="U21" s="67"/>
      <c r="V21" s="79"/>
      <c r="W21" s="59"/>
      <c r="X21" s="40">
        <f t="shared" si="1"/>
        <v>92991.525199999989</v>
      </c>
      <c r="Y21" s="27" t="s">
        <v>202</v>
      </c>
      <c r="Z21" s="48"/>
      <c r="AA21" s="192"/>
      <c r="AB21" s="195"/>
      <c r="AC21" s="196">
        <f>S21*1.1525</f>
        <v>91420.91</v>
      </c>
      <c r="AD21" s="27" t="s">
        <v>202</v>
      </c>
      <c r="AE21" s="67"/>
      <c r="AF21" s="175"/>
      <c r="AG21" s="123"/>
      <c r="AH21" s="124">
        <f>10409+0+2424+11+26+56+73871</f>
        <v>86797</v>
      </c>
      <c r="AI21" s="27" t="s">
        <v>202</v>
      </c>
      <c r="AJ21" s="67"/>
      <c r="AK21" s="207"/>
      <c r="AL21" s="194"/>
      <c r="AM21" s="196">
        <f>AH21*0.791/0.681</f>
        <v>100817.07342143905</v>
      </c>
      <c r="AN21" s="27" t="s">
        <v>202</v>
      </c>
      <c r="AO21" s="67"/>
      <c r="AP21" s="207"/>
      <c r="AQ21" s="158"/>
      <c r="AR21" s="159">
        <f>AH21*1.23305</f>
        <v>107025.04085</v>
      </c>
      <c r="AS21" s="27" t="s">
        <v>202</v>
      </c>
      <c r="AT21" s="67"/>
      <c r="AU21" s="33"/>
    </row>
    <row r="22" spans="1:47" x14ac:dyDescent="0.25">
      <c r="B22" s="121"/>
      <c r="C22" s="122"/>
      <c r="D22" s="122"/>
      <c r="E22" s="23"/>
      <c r="F22" s="67"/>
      <c r="G22" s="156"/>
      <c r="H22" s="157"/>
      <c r="I22" s="157"/>
      <c r="J22" s="23"/>
      <c r="K22" s="67"/>
      <c r="L22" s="156"/>
      <c r="M22" s="157"/>
      <c r="N22" s="119"/>
      <c r="O22" s="23"/>
      <c r="P22" s="67"/>
      <c r="Q22" s="121"/>
      <c r="R22" s="122"/>
      <c r="S22" s="122"/>
      <c r="T22" s="23"/>
      <c r="U22" s="67"/>
      <c r="V22" s="79"/>
      <c r="W22" s="59"/>
      <c r="X22" s="40"/>
      <c r="Y22" s="23"/>
      <c r="Z22" s="48"/>
      <c r="AA22" s="157"/>
      <c r="AB22" s="195"/>
      <c r="AC22" s="196"/>
      <c r="AD22" s="23"/>
      <c r="AE22" s="67"/>
      <c r="AF22" s="121"/>
      <c r="AG22" s="122"/>
      <c r="AH22" s="122"/>
      <c r="AI22" s="23"/>
      <c r="AJ22" s="67"/>
      <c r="AK22" s="156"/>
      <c r="AL22" s="194"/>
      <c r="AM22" s="196"/>
      <c r="AN22" s="23"/>
      <c r="AO22" s="67"/>
      <c r="AP22" s="206"/>
      <c r="AQ22" s="158"/>
      <c r="AR22" s="159"/>
      <c r="AS22" s="23"/>
      <c r="AT22" s="67"/>
      <c r="AU22" s="33"/>
    </row>
    <row r="23" spans="1:47" x14ac:dyDescent="0.25">
      <c r="A23" s="32" t="s">
        <v>208</v>
      </c>
      <c r="B23" s="121"/>
      <c r="C23" s="123">
        <f>SUM(D24:D25)</f>
        <v>926</v>
      </c>
      <c r="D23" s="122"/>
      <c r="E23" s="23"/>
      <c r="F23" s="67"/>
      <c r="G23" s="156"/>
      <c r="H23" s="158">
        <f>SUM(I24:I25)</f>
        <v>930</v>
      </c>
      <c r="I23" s="157"/>
      <c r="J23" s="23"/>
      <c r="K23" s="67"/>
      <c r="L23" s="156"/>
      <c r="M23" s="158">
        <f>SUM(N24:N25)</f>
        <v>1010</v>
      </c>
      <c r="N23" s="157"/>
      <c r="O23" s="23"/>
      <c r="P23" s="67"/>
      <c r="Q23" s="121"/>
      <c r="R23" s="123">
        <f>SUM(S24:S25)</f>
        <v>13681</v>
      </c>
      <c r="S23" s="122"/>
      <c r="T23" s="23"/>
      <c r="U23" s="67"/>
      <c r="V23" s="79"/>
      <c r="W23" s="59">
        <f t="shared" si="0"/>
        <v>16038.236299999999</v>
      </c>
      <c r="X23" s="40"/>
      <c r="Y23" s="23"/>
      <c r="Z23" s="48"/>
      <c r="AA23" s="157"/>
      <c r="AB23" s="194">
        <f>R23*1.1525</f>
        <v>15767.352500000001</v>
      </c>
      <c r="AC23" s="196"/>
      <c r="AD23" s="23"/>
      <c r="AE23" s="67"/>
      <c r="AF23" s="121"/>
      <c r="AG23" s="123">
        <f>SUM(AH24:AH25)</f>
        <v>13719</v>
      </c>
      <c r="AH23" s="122"/>
      <c r="AI23" s="23"/>
      <c r="AJ23" s="67"/>
      <c r="AK23" s="156"/>
      <c r="AL23" s="194">
        <f>AG23*0.791/0.681</f>
        <v>15934.991189427314</v>
      </c>
      <c r="AM23" s="196"/>
      <c r="AN23" s="23"/>
      <c r="AO23" s="67"/>
      <c r="AP23" s="206"/>
      <c r="AQ23" s="158">
        <f>AG23*1.23305</f>
        <v>16916.212950000001</v>
      </c>
      <c r="AR23" s="159"/>
      <c r="AS23" s="23"/>
      <c r="AT23" s="67"/>
      <c r="AU23" s="33"/>
    </row>
    <row r="24" spans="1:47" x14ac:dyDescent="0.25">
      <c r="A24" s="2" t="s">
        <v>57</v>
      </c>
      <c r="B24" s="108"/>
      <c r="C24" s="110"/>
      <c r="D24" s="124">
        <v>926</v>
      </c>
      <c r="E24" s="22" t="s">
        <v>79</v>
      </c>
      <c r="F24" s="67"/>
      <c r="G24" s="154"/>
      <c r="H24" s="115"/>
      <c r="I24" s="159">
        <v>930</v>
      </c>
      <c r="J24" s="22" t="s">
        <v>79</v>
      </c>
      <c r="K24" s="67"/>
      <c r="L24" s="154"/>
      <c r="M24" s="115"/>
      <c r="N24" s="159">
        <v>1010</v>
      </c>
      <c r="O24" s="22" t="s">
        <v>79</v>
      </c>
      <c r="P24" s="67"/>
      <c r="Q24" s="175"/>
      <c r="R24" s="123"/>
      <c r="S24" s="124">
        <v>111</v>
      </c>
      <c r="T24" s="27" t="s">
        <v>56</v>
      </c>
      <c r="U24" s="67"/>
      <c r="V24" s="79"/>
      <c r="W24" s="59"/>
      <c r="X24" s="40">
        <f t="shared" si="1"/>
        <v>130.12529999999998</v>
      </c>
      <c r="Y24" s="27" t="s">
        <v>56</v>
      </c>
      <c r="Z24" s="48"/>
      <c r="AA24" s="192"/>
      <c r="AB24" s="195"/>
      <c r="AC24" s="196">
        <f t="shared" ref="AC24:AC25" si="5">S24*1.1525</f>
        <v>127.92750000000001</v>
      </c>
      <c r="AD24" s="27" t="s">
        <v>56</v>
      </c>
      <c r="AE24" s="67"/>
      <c r="AF24" s="175"/>
      <c r="AG24" s="123"/>
      <c r="AH24" s="124">
        <v>103</v>
      </c>
      <c r="AI24" s="27" t="s">
        <v>56</v>
      </c>
      <c r="AJ24" s="67"/>
      <c r="AK24" s="207"/>
      <c r="AL24" s="194"/>
      <c r="AM24" s="196">
        <f>AH24*0.791/0.681</f>
        <v>119.63729809104258</v>
      </c>
      <c r="AN24" s="27" t="s">
        <v>56</v>
      </c>
      <c r="AO24" s="67"/>
      <c r="AP24" s="207"/>
      <c r="AQ24" s="158"/>
      <c r="AR24" s="159">
        <f t="shared" ref="AR24:AR25" si="6">AH24*1.23305</f>
        <v>127.00415</v>
      </c>
      <c r="AS24" s="27" t="s">
        <v>56</v>
      </c>
      <c r="AT24" s="67"/>
      <c r="AU24" s="33"/>
    </row>
    <row r="25" spans="1:47" x14ac:dyDescent="0.25">
      <c r="A25" s="2" t="s">
        <v>44</v>
      </c>
      <c r="B25" s="108"/>
      <c r="C25" s="110"/>
      <c r="D25" s="111"/>
      <c r="E25" s="22"/>
      <c r="F25" s="67"/>
      <c r="G25" s="154"/>
      <c r="H25" s="115"/>
      <c r="I25" s="150"/>
      <c r="J25" s="22"/>
      <c r="K25" s="67"/>
      <c r="L25" s="154"/>
      <c r="M25" s="115"/>
      <c r="N25" s="150"/>
      <c r="O25" s="22"/>
      <c r="P25" s="67"/>
      <c r="Q25" s="175"/>
      <c r="R25" s="123"/>
      <c r="S25" s="124">
        <v>13570</v>
      </c>
      <c r="T25" s="27" t="s">
        <v>233</v>
      </c>
      <c r="U25" s="67" t="s">
        <v>234</v>
      </c>
      <c r="V25" s="79"/>
      <c r="W25" s="59"/>
      <c r="X25" s="40">
        <f t="shared" si="1"/>
        <v>15908.110999999999</v>
      </c>
      <c r="Y25" s="27" t="s">
        <v>233</v>
      </c>
      <c r="Z25" s="48"/>
      <c r="AA25" s="192"/>
      <c r="AB25" s="195"/>
      <c r="AC25" s="196">
        <f t="shared" si="5"/>
        <v>15639.425000000001</v>
      </c>
      <c r="AD25" s="27" t="s">
        <v>233</v>
      </c>
      <c r="AE25" s="67"/>
      <c r="AF25" s="175"/>
      <c r="AG25" s="123"/>
      <c r="AH25" s="178">
        <f>13607+9</f>
        <v>13616</v>
      </c>
      <c r="AI25" s="27" t="s">
        <v>233</v>
      </c>
      <c r="AJ25" s="67"/>
      <c r="AK25" s="207"/>
      <c r="AL25" s="194"/>
      <c r="AM25" s="196">
        <f>AH25*0.791/0.681</f>
        <v>15815.35389133627</v>
      </c>
      <c r="AN25" s="27" t="s">
        <v>233</v>
      </c>
      <c r="AO25" s="67"/>
      <c r="AP25" s="207"/>
      <c r="AQ25" s="158"/>
      <c r="AR25" s="159">
        <f t="shared" si="6"/>
        <v>16789.2088</v>
      </c>
      <c r="AS25" s="27" t="s">
        <v>233</v>
      </c>
      <c r="AT25" s="67"/>
      <c r="AU25" s="33"/>
    </row>
    <row r="26" spans="1:47" x14ac:dyDescent="0.25">
      <c r="A26" s="1"/>
      <c r="B26" s="108"/>
      <c r="C26" s="110"/>
      <c r="D26" s="111"/>
      <c r="E26" s="22"/>
      <c r="F26" s="67"/>
      <c r="G26" s="154"/>
      <c r="H26" s="115"/>
      <c r="I26" s="150"/>
      <c r="J26" s="22"/>
      <c r="K26" s="67"/>
      <c r="L26" s="154"/>
      <c r="M26" s="115"/>
      <c r="N26" s="150"/>
      <c r="O26" s="22"/>
      <c r="P26" s="67"/>
      <c r="Q26" s="175"/>
      <c r="R26" s="123"/>
      <c r="S26" s="124"/>
      <c r="T26" s="27"/>
      <c r="U26" s="67"/>
      <c r="V26" s="79"/>
      <c r="W26" s="59"/>
      <c r="X26" s="40"/>
      <c r="Y26" s="27"/>
      <c r="Z26" s="48"/>
      <c r="AA26" s="192"/>
      <c r="AB26" s="195"/>
      <c r="AC26" s="196"/>
      <c r="AD26" s="27"/>
      <c r="AE26" s="67"/>
      <c r="AF26" s="175"/>
      <c r="AG26" s="123"/>
      <c r="AH26" s="124"/>
      <c r="AI26" s="27"/>
      <c r="AJ26" s="67"/>
      <c r="AK26" s="207"/>
      <c r="AL26" s="194"/>
      <c r="AM26" s="196"/>
      <c r="AN26" s="27"/>
      <c r="AO26" s="67"/>
      <c r="AP26" s="207"/>
      <c r="AQ26" s="158"/>
      <c r="AR26" s="159"/>
      <c r="AS26" s="27"/>
      <c r="AT26" s="67"/>
      <c r="AU26" s="33"/>
    </row>
    <row r="27" spans="1:47" x14ac:dyDescent="0.25">
      <c r="B27" s="108"/>
      <c r="C27" s="110"/>
      <c r="D27" s="111"/>
      <c r="E27" s="22"/>
      <c r="F27" s="67"/>
      <c r="G27" s="154"/>
      <c r="H27" s="115"/>
      <c r="I27" s="150"/>
      <c r="J27" s="22"/>
      <c r="K27" s="67"/>
      <c r="L27" s="154"/>
      <c r="M27" s="115"/>
      <c r="N27" s="150"/>
      <c r="O27" s="22"/>
      <c r="P27" s="67"/>
      <c r="Q27" s="175"/>
      <c r="R27" s="123"/>
      <c r="S27" s="124"/>
      <c r="T27" s="27"/>
      <c r="U27" s="67"/>
      <c r="V27" s="79"/>
      <c r="W27" s="59"/>
      <c r="X27" s="40"/>
      <c r="Y27" s="27"/>
      <c r="Z27" s="48"/>
      <c r="AA27" s="192"/>
      <c r="AB27" s="195"/>
      <c r="AC27" s="196"/>
      <c r="AD27" s="27"/>
      <c r="AE27" s="67"/>
      <c r="AF27" s="175"/>
      <c r="AG27" s="123"/>
      <c r="AH27" s="124"/>
      <c r="AI27" s="27"/>
      <c r="AJ27" s="67"/>
      <c r="AK27" s="207"/>
      <c r="AL27" s="194"/>
      <c r="AM27" s="196"/>
      <c r="AN27" s="27"/>
      <c r="AO27" s="67"/>
      <c r="AP27" s="207"/>
      <c r="AQ27" s="158"/>
      <c r="AR27" s="159"/>
      <c r="AS27" s="27"/>
      <c r="AT27" s="67"/>
      <c r="AU27" s="33"/>
    </row>
    <row r="28" spans="1:47" x14ac:dyDescent="0.25">
      <c r="A28" s="4" t="s">
        <v>204</v>
      </c>
      <c r="B28" s="125">
        <v>131959</v>
      </c>
      <c r="C28" s="110"/>
      <c r="D28" s="111"/>
      <c r="E28" s="22" t="s">
        <v>205</v>
      </c>
      <c r="F28" s="67" t="s">
        <v>206</v>
      </c>
      <c r="G28" s="112">
        <f>129651+800</f>
        <v>130451</v>
      </c>
      <c r="H28" s="115"/>
      <c r="I28" s="150"/>
      <c r="J28" s="22" t="s">
        <v>205</v>
      </c>
      <c r="K28" s="67" t="s">
        <v>206</v>
      </c>
      <c r="L28" s="112">
        <f>138330-230+800</f>
        <v>138900</v>
      </c>
      <c r="M28" s="115"/>
      <c r="N28" s="150"/>
      <c r="O28" s="22" t="s">
        <v>205</v>
      </c>
      <c r="P28" s="67" t="s">
        <v>206</v>
      </c>
      <c r="Q28" s="175">
        <f>22100-1500</f>
        <v>20600</v>
      </c>
      <c r="R28" s="123"/>
      <c r="S28" s="124"/>
      <c r="T28" s="27" t="s">
        <v>235</v>
      </c>
      <c r="U28" s="67" t="s">
        <v>236</v>
      </c>
      <c r="V28" s="79">
        <f t="shared" ref="V28:V53" si="7">Q28*1.1723</f>
        <v>24149.379999999997</v>
      </c>
      <c r="W28" s="59"/>
      <c r="X28" s="40"/>
      <c r="Y28" s="27" t="s">
        <v>132</v>
      </c>
      <c r="Z28" s="48"/>
      <c r="AA28" s="192">
        <f>Q28*1.1525</f>
        <v>23741.5</v>
      </c>
      <c r="AB28" s="195"/>
      <c r="AC28" s="196"/>
      <c r="AD28" s="27" t="s">
        <v>132</v>
      </c>
      <c r="AE28" s="67"/>
      <c r="AF28" s="205">
        <v>22100</v>
      </c>
      <c r="AG28" s="123"/>
      <c r="AH28" s="124"/>
      <c r="AI28" s="27" t="s">
        <v>235</v>
      </c>
      <c r="AJ28" s="67"/>
      <c r="AK28" s="207">
        <f>AF28*0.791/0.681</f>
        <v>25669.750367107197</v>
      </c>
      <c r="AL28" s="194"/>
      <c r="AM28" s="196"/>
      <c r="AN28" s="27" t="s">
        <v>235</v>
      </c>
      <c r="AO28" s="67"/>
      <c r="AP28" s="207">
        <f>AF28*1.23305</f>
        <v>27250.404999999999</v>
      </c>
      <c r="AQ28" s="158"/>
      <c r="AR28" s="159"/>
      <c r="AS28" s="27" t="s">
        <v>235</v>
      </c>
      <c r="AT28" s="67"/>
      <c r="AU28" s="33"/>
    </row>
    <row r="29" spans="1:47" x14ac:dyDescent="0.25">
      <c r="B29" s="126"/>
      <c r="C29" s="127"/>
      <c r="D29" s="120"/>
      <c r="E29" s="17"/>
      <c r="F29" s="67"/>
      <c r="G29" s="160"/>
      <c r="H29" s="161"/>
      <c r="I29" s="118"/>
      <c r="J29" s="17"/>
      <c r="K29" s="67"/>
      <c r="L29" s="160"/>
      <c r="M29" s="161"/>
      <c r="N29" s="118"/>
      <c r="O29" s="17"/>
      <c r="P29" s="67"/>
      <c r="Q29" s="175"/>
      <c r="R29" s="123"/>
      <c r="S29" s="124"/>
      <c r="T29" s="27"/>
      <c r="U29" s="67"/>
      <c r="V29" s="79"/>
      <c r="W29" s="59"/>
      <c r="X29" s="40"/>
      <c r="Y29" s="27"/>
      <c r="Z29" s="48"/>
      <c r="AA29" s="192"/>
      <c r="AB29" s="195"/>
      <c r="AC29" s="196"/>
      <c r="AD29" s="27"/>
      <c r="AE29" s="67"/>
      <c r="AF29" s="175"/>
      <c r="AG29" s="123"/>
      <c r="AH29" s="124"/>
      <c r="AI29" s="27"/>
      <c r="AJ29" s="67"/>
      <c r="AK29" s="207"/>
      <c r="AL29" s="194"/>
      <c r="AM29" s="196"/>
      <c r="AN29" s="27"/>
      <c r="AO29" s="67"/>
      <c r="AP29" s="207"/>
      <c r="AQ29" s="158"/>
      <c r="AR29" s="159"/>
      <c r="AS29" s="27"/>
      <c r="AT29" s="67"/>
      <c r="AU29" s="33"/>
    </row>
    <row r="30" spans="1:47" x14ac:dyDescent="0.25">
      <c r="B30" s="126"/>
      <c r="C30" s="127"/>
      <c r="D30" s="120"/>
      <c r="E30" s="17"/>
      <c r="F30" s="67"/>
      <c r="G30" s="160"/>
      <c r="H30" s="161"/>
      <c r="I30" s="118"/>
      <c r="J30" s="17"/>
      <c r="K30" s="67"/>
      <c r="L30" s="160"/>
      <c r="M30" s="161"/>
      <c r="N30" s="118"/>
      <c r="O30" s="17"/>
      <c r="P30" s="67"/>
      <c r="Q30" s="175"/>
      <c r="R30" s="123"/>
      <c r="S30" s="124"/>
      <c r="T30" s="27"/>
      <c r="U30" s="67"/>
      <c r="V30" s="79"/>
      <c r="W30" s="59"/>
      <c r="X30" s="40"/>
      <c r="Y30" s="27"/>
      <c r="Z30" s="48"/>
      <c r="AA30" s="192"/>
      <c r="AB30" s="195"/>
      <c r="AC30" s="196"/>
      <c r="AD30" s="27"/>
      <c r="AE30" s="67"/>
      <c r="AF30" s="175"/>
      <c r="AG30" s="123"/>
      <c r="AH30" s="124"/>
      <c r="AI30" s="27"/>
      <c r="AJ30" s="67"/>
      <c r="AK30" s="207"/>
      <c r="AL30" s="194"/>
      <c r="AM30" s="196"/>
      <c r="AN30" s="27"/>
      <c r="AO30" s="67"/>
      <c r="AP30" s="207"/>
      <c r="AQ30" s="158"/>
      <c r="AR30" s="159"/>
      <c r="AS30" s="27"/>
      <c r="AT30" s="67"/>
      <c r="AU30" s="33"/>
    </row>
    <row r="31" spans="1:47" x14ac:dyDescent="0.25">
      <c r="A31" s="4" t="s">
        <v>20</v>
      </c>
      <c r="B31" s="128">
        <f>SUM(C33:C40)</f>
        <v>302604</v>
      </c>
      <c r="C31" s="127"/>
      <c r="D31" s="120"/>
      <c r="E31" s="17"/>
      <c r="F31" s="67"/>
      <c r="G31" s="136">
        <f>SUM(H33:H40)</f>
        <v>300032</v>
      </c>
      <c r="H31" s="161"/>
      <c r="I31" s="118"/>
      <c r="J31" s="17"/>
      <c r="K31" s="67"/>
      <c r="L31" s="136">
        <f>SUM(M33:M40)</f>
        <v>298250</v>
      </c>
      <c r="M31" s="161"/>
      <c r="N31" s="118"/>
      <c r="O31" s="17"/>
      <c r="P31" s="67"/>
      <c r="Q31" s="175">
        <f>SUM(R33:R40)</f>
        <v>86054</v>
      </c>
      <c r="R31" s="123"/>
      <c r="S31" s="124"/>
      <c r="T31" s="27"/>
      <c r="U31" s="67"/>
      <c r="V31" s="79">
        <f t="shared" si="7"/>
        <v>100881.10419999999</v>
      </c>
      <c r="W31" s="59"/>
      <c r="X31" s="40"/>
      <c r="Y31" s="27"/>
      <c r="Z31" s="48"/>
      <c r="AA31" s="192">
        <f>Q31*1.1525</f>
        <v>99177.235000000001</v>
      </c>
      <c r="AB31" s="195"/>
      <c r="AC31" s="196"/>
      <c r="AD31" s="27"/>
      <c r="AE31" s="67"/>
      <c r="AF31" s="175">
        <f>SUM(AG33:AG40)</f>
        <v>84660</v>
      </c>
      <c r="AG31" s="123"/>
      <c r="AH31" s="124"/>
      <c r="AI31" s="27"/>
      <c r="AJ31" s="67"/>
      <c r="AK31" s="207">
        <f>AF31*0.791/0.681</f>
        <v>98334.889867841397</v>
      </c>
      <c r="AL31" s="194"/>
      <c r="AM31" s="196"/>
      <c r="AN31" s="27"/>
      <c r="AO31" s="67"/>
      <c r="AP31" s="207">
        <f>AF31*1.23305</f>
        <v>104390.01299999999</v>
      </c>
      <c r="AQ31" s="158"/>
      <c r="AR31" s="159"/>
      <c r="AS31" s="27"/>
      <c r="AT31" s="67"/>
      <c r="AU31" s="33"/>
    </row>
    <row r="32" spans="1:47" x14ac:dyDescent="0.25">
      <c r="B32" s="126"/>
      <c r="C32" s="127"/>
      <c r="D32" s="120"/>
      <c r="E32" s="17"/>
      <c r="F32" s="67"/>
      <c r="G32" s="160"/>
      <c r="H32" s="161"/>
      <c r="I32" s="118"/>
      <c r="J32" s="17"/>
      <c r="K32" s="67"/>
      <c r="L32" s="160"/>
      <c r="M32" s="161"/>
      <c r="N32" s="118"/>
      <c r="O32" s="17"/>
      <c r="P32" s="67"/>
      <c r="Q32" s="175"/>
      <c r="R32" s="123"/>
      <c r="S32" s="124"/>
      <c r="T32" s="27"/>
      <c r="U32" s="67"/>
      <c r="V32" s="79"/>
      <c r="W32" s="59"/>
      <c r="X32" s="40"/>
      <c r="Y32" s="27"/>
      <c r="Z32" s="48"/>
      <c r="AA32" s="192"/>
      <c r="AB32" s="195"/>
      <c r="AC32" s="196"/>
      <c r="AD32" s="27"/>
      <c r="AE32" s="67"/>
      <c r="AF32" s="175"/>
      <c r="AG32" s="123"/>
      <c r="AH32" s="124"/>
      <c r="AI32" s="27"/>
      <c r="AJ32" s="67"/>
      <c r="AK32" s="207"/>
      <c r="AL32" s="194"/>
      <c r="AM32" s="196"/>
      <c r="AN32" s="27"/>
      <c r="AO32" s="67"/>
      <c r="AP32" s="207"/>
      <c r="AQ32" s="158"/>
      <c r="AR32" s="159"/>
      <c r="AS32" s="27"/>
      <c r="AT32" s="67"/>
      <c r="AU32" s="33"/>
    </row>
    <row r="33" spans="1:47" x14ac:dyDescent="0.25">
      <c r="A33" s="1" t="s">
        <v>46</v>
      </c>
      <c r="B33" s="129"/>
      <c r="C33" s="123">
        <f>SUM(D34:D35)</f>
        <v>249891</v>
      </c>
      <c r="D33" s="120"/>
      <c r="F33" s="67"/>
      <c r="G33" s="162"/>
      <c r="H33" s="158">
        <f>SUM(I34:I35)</f>
        <v>246853</v>
      </c>
      <c r="I33" s="118"/>
      <c r="K33" s="67"/>
      <c r="L33" s="162"/>
      <c r="M33" s="158">
        <f>SUM(N34:N35)</f>
        <v>246385</v>
      </c>
      <c r="N33" s="118"/>
      <c r="P33" s="67"/>
      <c r="Q33" s="175"/>
      <c r="R33" s="123">
        <f>62255+6242-787</f>
        <v>67710</v>
      </c>
      <c r="S33" s="124"/>
      <c r="T33" s="27" t="s">
        <v>55</v>
      </c>
      <c r="U33" s="67" t="s">
        <v>196</v>
      </c>
      <c r="V33" s="79"/>
      <c r="W33" s="59">
        <f t="shared" si="0"/>
        <v>79376.43299999999</v>
      </c>
      <c r="X33" s="40"/>
      <c r="Y33" s="27" t="s">
        <v>55</v>
      </c>
      <c r="Z33" s="48"/>
      <c r="AA33" s="192"/>
      <c r="AB33" s="194">
        <f>R33*1.1525</f>
        <v>78035.775000000009</v>
      </c>
      <c r="AC33" s="196"/>
      <c r="AD33" s="27" t="s">
        <v>55</v>
      </c>
      <c r="AE33" s="67"/>
      <c r="AF33" s="175"/>
      <c r="AG33" s="123">
        <f>59730+6565-758</f>
        <v>65537</v>
      </c>
      <c r="AH33" s="124"/>
      <c r="AI33" s="27" t="s">
        <v>55</v>
      </c>
      <c r="AJ33" s="67" t="s">
        <v>196</v>
      </c>
      <c r="AK33" s="207"/>
      <c r="AL33" s="194">
        <f>AG33*0.791/0.681</f>
        <v>76123.005873715112</v>
      </c>
      <c r="AM33" s="196"/>
      <c r="AN33" s="27" t="s">
        <v>55</v>
      </c>
      <c r="AO33" s="67" t="s">
        <v>196</v>
      </c>
      <c r="AP33" s="207"/>
      <c r="AQ33" s="158">
        <f>AG33*1.23305</f>
        <v>80810.397849999994</v>
      </c>
      <c r="AR33" s="159"/>
      <c r="AS33" s="27" t="s">
        <v>55</v>
      </c>
      <c r="AT33" s="67" t="s">
        <v>196</v>
      </c>
      <c r="AU33" s="33"/>
    </row>
    <row r="34" spans="1:47" x14ac:dyDescent="0.25">
      <c r="A34" s="2" t="s">
        <v>133</v>
      </c>
      <c r="B34" s="129"/>
      <c r="C34" s="127"/>
      <c r="D34" s="120">
        <f>234159-6935</f>
        <v>227224</v>
      </c>
      <c r="E34" s="17" t="s">
        <v>74</v>
      </c>
      <c r="F34" s="67"/>
      <c r="G34" s="162"/>
      <c r="H34" s="161"/>
      <c r="I34" s="118">
        <v>227946</v>
      </c>
      <c r="J34" s="17" t="s">
        <v>74</v>
      </c>
      <c r="K34" s="67"/>
      <c r="L34" s="162"/>
      <c r="M34" s="161"/>
      <c r="N34" s="118">
        <f>227015-2620</f>
        <v>224395</v>
      </c>
      <c r="O34" s="17" t="s">
        <v>74</v>
      </c>
      <c r="P34" s="67"/>
      <c r="Q34" s="175"/>
      <c r="R34" s="123"/>
      <c r="S34" s="124"/>
      <c r="T34" s="27"/>
      <c r="U34" s="67"/>
      <c r="V34" s="79"/>
      <c r="W34" s="59"/>
      <c r="X34" s="40"/>
      <c r="Y34" s="27"/>
      <c r="Z34" s="48"/>
      <c r="AA34" s="192"/>
      <c r="AB34" s="195"/>
      <c r="AC34" s="196"/>
      <c r="AD34" s="27"/>
      <c r="AE34" s="67"/>
      <c r="AF34" s="175"/>
      <c r="AG34" s="123"/>
      <c r="AH34" s="124"/>
      <c r="AI34" s="27"/>
      <c r="AJ34" s="67"/>
      <c r="AK34" s="207"/>
      <c r="AL34" s="194"/>
      <c r="AM34" s="196"/>
      <c r="AN34" s="27"/>
      <c r="AO34" s="67"/>
      <c r="AP34" s="207"/>
      <c r="AQ34" s="158"/>
      <c r="AR34" s="159"/>
      <c r="AS34" s="27"/>
      <c r="AT34" s="67"/>
      <c r="AU34" s="33"/>
    </row>
    <row r="35" spans="1:47" x14ac:dyDescent="0.25">
      <c r="A35" s="2" t="s">
        <v>39</v>
      </c>
      <c r="B35" s="129"/>
      <c r="C35" s="127"/>
      <c r="D35" s="120">
        <f>22682-15</f>
        <v>22667</v>
      </c>
      <c r="E35" s="17" t="s">
        <v>221</v>
      </c>
      <c r="F35" s="67"/>
      <c r="G35" s="162"/>
      <c r="H35" s="161"/>
      <c r="I35" s="118">
        <f>22271-3364</f>
        <v>18907</v>
      </c>
      <c r="J35" s="17" t="s">
        <v>221</v>
      </c>
      <c r="K35" s="67"/>
      <c r="L35" s="162"/>
      <c r="M35" s="161"/>
      <c r="N35" s="118">
        <f>22005-15</f>
        <v>21990</v>
      </c>
      <c r="O35" s="17" t="s">
        <v>221</v>
      </c>
      <c r="P35" s="67"/>
      <c r="Q35" s="175"/>
      <c r="R35" s="123"/>
      <c r="S35" s="124"/>
      <c r="T35" s="27"/>
      <c r="U35" s="67"/>
      <c r="V35" s="79"/>
      <c r="W35" s="59"/>
      <c r="X35" s="40"/>
      <c r="Y35" s="27"/>
      <c r="Z35" s="48"/>
      <c r="AA35" s="192"/>
      <c r="AB35" s="195"/>
      <c r="AC35" s="196"/>
      <c r="AD35" s="27"/>
      <c r="AE35" s="67"/>
      <c r="AF35" s="175"/>
      <c r="AG35" s="123"/>
      <c r="AH35" s="124"/>
      <c r="AI35" s="27"/>
      <c r="AJ35" s="67"/>
      <c r="AK35" s="207"/>
      <c r="AL35" s="194"/>
      <c r="AM35" s="196"/>
      <c r="AN35" s="27"/>
      <c r="AO35" s="67"/>
      <c r="AP35" s="207"/>
      <c r="AQ35" s="158"/>
      <c r="AR35" s="159"/>
      <c r="AS35" s="27"/>
      <c r="AT35" s="67"/>
      <c r="AU35" s="33"/>
    </row>
    <row r="36" spans="1:47" x14ac:dyDescent="0.25">
      <c r="B36" s="126"/>
      <c r="C36" s="127"/>
      <c r="D36" s="120"/>
      <c r="E36" s="17"/>
      <c r="F36" s="67"/>
      <c r="G36" s="160"/>
      <c r="H36" s="161"/>
      <c r="I36" s="118"/>
      <c r="J36" s="17"/>
      <c r="K36" s="67"/>
      <c r="L36" s="160"/>
      <c r="M36" s="161"/>
      <c r="N36" s="118"/>
      <c r="O36" s="17"/>
      <c r="P36" s="67"/>
      <c r="Q36" s="175"/>
      <c r="R36" s="123"/>
      <c r="S36" s="124"/>
      <c r="T36" s="27"/>
      <c r="U36" s="67"/>
      <c r="V36" s="79"/>
      <c r="W36" s="59"/>
      <c r="X36" s="40"/>
      <c r="Y36" s="27"/>
      <c r="Z36" s="48"/>
      <c r="AA36" s="192"/>
      <c r="AB36" s="195"/>
      <c r="AC36" s="196"/>
      <c r="AD36" s="27"/>
      <c r="AE36" s="67"/>
      <c r="AF36" s="175"/>
      <c r="AG36" s="123"/>
      <c r="AH36" s="124"/>
      <c r="AI36" s="27"/>
      <c r="AJ36" s="67"/>
      <c r="AK36" s="207"/>
      <c r="AL36" s="194"/>
      <c r="AM36" s="196"/>
      <c r="AN36" s="27"/>
      <c r="AO36" s="67"/>
      <c r="AP36" s="207"/>
      <c r="AQ36" s="158"/>
      <c r="AR36" s="159"/>
      <c r="AS36" s="27"/>
      <c r="AT36" s="67"/>
      <c r="AU36" s="33"/>
    </row>
    <row r="37" spans="1:47" x14ac:dyDescent="0.25">
      <c r="A37" s="1" t="s">
        <v>134</v>
      </c>
      <c r="B37" s="129" t="s">
        <v>49</v>
      </c>
      <c r="C37" s="127">
        <f>47562+1459+16+3237-75+514</f>
        <v>52713</v>
      </c>
      <c r="D37" s="120"/>
      <c r="E37" s="17" t="s">
        <v>216</v>
      </c>
      <c r="F37" s="67" t="s">
        <v>220</v>
      </c>
      <c r="G37" s="162" t="s">
        <v>49</v>
      </c>
      <c r="H37" s="161">
        <f>47741+409+3364+(2595-930)</f>
        <v>53179</v>
      </c>
      <c r="I37" s="118"/>
      <c r="J37" s="17" t="s">
        <v>216</v>
      </c>
      <c r="K37" s="67" t="s">
        <v>220</v>
      </c>
      <c r="L37" s="162" t="s">
        <v>49</v>
      </c>
      <c r="M37" s="161">
        <f>46545+630+2935+(1500+80+115+60)</f>
        <v>51865</v>
      </c>
      <c r="N37" s="118"/>
      <c r="O37" s="17" t="s">
        <v>216</v>
      </c>
      <c r="P37" s="67" t="s">
        <v>220</v>
      </c>
      <c r="Q37" s="175"/>
      <c r="R37" s="123">
        <f>SUM(S38:S39)</f>
        <v>18344</v>
      </c>
      <c r="S37" s="124"/>
      <c r="U37" s="2"/>
      <c r="V37" s="79"/>
      <c r="W37" s="59">
        <f t="shared" si="0"/>
        <v>21504.671199999997</v>
      </c>
      <c r="X37" s="40"/>
      <c r="Y37" s="27" t="s">
        <v>55</v>
      </c>
      <c r="Z37" s="48"/>
      <c r="AA37" s="192"/>
      <c r="AB37" s="194">
        <f>R37*1.1525</f>
        <v>21141.460000000003</v>
      </c>
      <c r="AC37" s="196"/>
      <c r="AD37" s="27" t="s">
        <v>55</v>
      </c>
      <c r="AE37" s="67"/>
      <c r="AF37" s="175"/>
      <c r="AG37" s="123">
        <f>SUM(AH38:AH39)</f>
        <v>19123</v>
      </c>
      <c r="AH37" s="124"/>
      <c r="AJ37" s="2"/>
      <c r="AK37" s="207"/>
      <c r="AL37" s="194">
        <f>AG37*0.791/0.681</f>
        <v>22211.883994126285</v>
      </c>
      <c r="AM37" s="196"/>
      <c r="AO37" s="2"/>
      <c r="AP37" s="207"/>
      <c r="AQ37" s="158">
        <f>AG37*1.23305</f>
        <v>23579.615149999998</v>
      </c>
      <c r="AR37" s="159"/>
      <c r="AT37" s="2"/>
      <c r="AU37" s="33"/>
    </row>
    <row r="38" spans="1:47" x14ac:dyDescent="0.25">
      <c r="A38" s="2" t="s">
        <v>57</v>
      </c>
      <c r="B38" s="129"/>
      <c r="C38" s="127"/>
      <c r="D38" s="120"/>
      <c r="E38" s="17"/>
      <c r="F38" s="67"/>
      <c r="G38" s="162"/>
      <c r="H38" s="161"/>
      <c r="I38" s="118"/>
      <c r="J38" s="17"/>
      <c r="K38" s="67"/>
      <c r="L38" s="162"/>
      <c r="M38" s="161"/>
      <c r="N38" s="118"/>
      <c r="O38" s="17"/>
      <c r="P38" s="67"/>
      <c r="Q38" s="175"/>
      <c r="R38" s="123"/>
      <c r="S38" s="124">
        <v>4955</v>
      </c>
      <c r="T38" s="27" t="s">
        <v>55</v>
      </c>
      <c r="U38" s="67" t="s">
        <v>198</v>
      </c>
      <c r="V38" s="79"/>
      <c r="W38" s="59"/>
      <c r="X38" s="40">
        <f t="shared" si="0"/>
        <v>5808.7464999999993</v>
      </c>
      <c r="Y38" s="27" t="s">
        <v>55</v>
      </c>
      <c r="Z38" s="67" t="s">
        <v>198</v>
      </c>
      <c r="AA38" s="192"/>
      <c r="AB38" s="195"/>
      <c r="AC38" s="196">
        <f t="shared" ref="AC38:AC39" si="8">S38*1.1525</f>
        <v>5710.6375000000007</v>
      </c>
      <c r="AD38" s="27" t="s">
        <v>55</v>
      </c>
      <c r="AE38" s="67" t="s">
        <v>198</v>
      </c>
      <c r="AF38" s="175"/>
      <c r="AG38" s="123"/>
      <c r="AH38" s="124">
        <v>5007</v>
      </c>
      <c r="AI38" s="27" t="s">
        <v>55</v>
      </c>
      <c r="AJ38" s="67" t="s">
        <v>198</v>
      </c>
      <c r="AK38" s="207"/>
      <c r="AL38" s="194"/>
      <c r="AM38" s="196">
        <f>AH38*0.791/0.681</f>
        <v>5815.7665198237883</v>
      </c>
      <c r="AN38" s="27" t="s">
        <v>55</v>
      </c>
      <c r="AO38" s="67" t="s">
        <v>198</v>
      </c>
      <c r="AP38" s="207"/>
      <c r="AQ38" s="158"/>
      <c r="AR38" s="159">
        <f t="shared" ref="AR38:AR39" si="9">AH38*1.23305</f>
        <v>6173.8813499999997</v>
      </c>
      <c r="AS38" s="27" t="s">
        <v>55</v>
      </c>
      <c r="AT38" s="67" t="s">
        <v>198</v>
      </c>
      <c r="AU38" s="33"/>
    </row>
    <row r="39" spans="1:47" x14ac:dyDescent="0.25">
      <c r="A39" s="2" t="s">
        <v>197</v>
      </c>
      <c r="B39" s="129"/>
      <c r="C39" s="127"/>
      <c r="D39" s="120"/>
      <c r="E39" s="17"/>
      <c r="F39" s="67"/>
      <c r="G39" s="162"/>
      <c r="H39" s="161"/>
      <c r="I39" s="118"/>
      <c r="J39" s="17"/>
      <c r="K39" s="67"/>
      <c r="L39" s="162"/>
      <c r="M39" s="161"/>
      <c r="N39" s="118"/>
      <c r="O39" s="17"/>
      <c r="P39" s="67"/>
      <c r="Q39" s="175"/>
      <c r="R39" s="122"/>
      <c r="S39" s="124">
        <f>13270+119</f>
        <v>13389</v>
      </c>
      <c r="T39" s="27" t="s">
        <v>55</v>
      </c>
      <c r="U39" s="67" t="s">
        <v>198</v>
      </c>
      <c r="V39" s="79"/>
      <c r="W39" s="59"/>
      <c r="X39" s="40">
        <f t="shared" si="0"/>
        <v>15695.924699999998</v>
      </c>
      <c r="Y39" s="27" t="s">
        <v>55</v>
      </c>
      <c r="Z39" s="67" t="s">
        <v>198</v>
      </c>
      <c r="AA39" s="192"/>
      <c r="AB39" s="195"/>
      <c r="AC39" s="196">
        <f t="shared" si="8"/>
        <v>15430.8225</v>
      </c>
      <c r="AD39" s="27" t="s">
        <v>55</v>
      </c>
      <c r="AE39" s="67" t="s">
        <v>198</v>
      </c>
      <c r="AF39" s="175"/>
      <c r="AG39" s="122"/>
      <c r="AH39" s="124">
        <f>14016+100</f>
        <v>14116</v>
      </c>
      <c r="AI39" s="27" t="s">
        <v>55</v>
      </c>
      <c r="AJ39" s="67" t="s">
        <v>198</v>
      </c>
      <c r="AK39" s="207"/>
      <c r="AL39" s="194"/>
      <c r="AM39" s="196">
        <f>AH39*0.791/0.681</f>
        <v>16396.117474302497</v>
      </c>
      <c r="AN39" s="27" t="s">
        <v>55</v>
      </c>
      <c r="AO39" s="67" t="s">
        <v>198</v>
      </c>
      <c r="AP39" s="207"/>
      <c r="AQ39" s="158"/>
      <c r="AR39" s="159">
        <f t="shared" si="9"/>
        <v>17405.733799999998</v>
      </c>
      <c r="AS39" s="27" t="s">
        <v>55</v>
      </c>
      <c r="AT39" s="67" t="s">
        <v>198</v>
      </c>
      <c r="AU39" s="33"/>
    </row>
    <row r="40" spans="1:47" x14ac:dyDescent="0.25">
      <c r="A40" s="2"/>
      <c r="B40" s="129"/>
      <c r="C40" s="127"/>
      <c r="D40" s="120"/>
      <c r="E40" s="17"/>
      <c r="F40" s="67"/>
      <c r="G40" s="162"/>
      <c r="H40" s="161"/>
      <c r="I40" s="118"/>
      <c r="J40" s="17"/>
      <c r="K40" s="67"/>
      <c r="L40" s="162"/>
      <c r="M40" s="161"/>
      <c r="N40" s="118"/>
      <c r="O40" s="17"/>
      <c r="P40" s="67"/>
      <c r="Q40" s="175"/>
      <c r="R40" s="123"/>
      <c r="S40" s="124"/>
      <c r="T40" s="27"/>
      <c r="U40" s="67"/>
      <c r="V40" s="79"/>
      <c r="W40" s="59"/>
      <c r="X40" s="40"/>
      <c r="Y40" s="27"/>
      <c r="Z40" s="48"/>
      <c r="AA40" s="192"/>
      <c r="AB40" s="195"/>
      <c r="AC40" s="196"/>
      <c r="AD40" s="27"/>
      <c r="AE40" s="67"/>
      <c r="AF40" s="175"/>
      <c r="AG40" s="123"/>
      <c r="AH40" s="124"/>
      <c r="AI40" s="27"/>
      <c r="AJ40" s="67"/>
      <c r="AK40" s="207"/>
      <c r="AL40" s="194"/>
      <c r="AM40" s="196"/>
      <c r="AN40" s="27"/>
      <c r="AO40" s="67"/>
      <c r="AP40" s="207"/>
      <c r="AQ40" s="158"/>
      <c r="AR40" s="159"/>
      <c r="AS40" s="27"/>
      <c r="AT40" s="67"/>
      <c r="AU40" s="33"/>
    </row>
    <row r="41" spans="1:47" x14ac:dyDescent="0.25">
      <c r="B41" s="108"/>
      <c r="C41" s="110"/>
      <c r="D41" s="111"/>
      <c r="E41" s="22"/>
      <c r="F41" s="67"/>
      <c r="G41" s="154"/>
      <c r="H41" s="115"/>
      <c r="I41" s="150"/>
      <c r="J41" s="22"/>
      <c r="K41" s="67"/>
      <c r="L41" s="154"/>
      <c r="M41" s="115"/>
      <c r="N41" s="150"/>
      <c r="O41" s="22"/>
      <c r="P41" s="67"/>
      <c r="Q41" s="175"/>
      <c r="R41" s="123"/>
      <c r="S41" s="124"/>
      <c r="T41" s="27"/>
      <c r="U41" s="67"/>
      <c r="V41" s="79"/>
      <c r="W41" s="59"/>
      <c r="X41" s="40"/>
      <c r="Y41" s="27"/>
      <c r="Z41" s="48"/>
      <c r="AA41" s="192"/>
      <c r="AB41" s="195"/>
      <c r="AC41" s="196"/>
      <c r="AD41" s="27"/>
      <c r="AE41" s="67"/>
      <c r="AF41" s="175"/>
      <c r="AG41" s="123"/>
      <c r="AH41" s="124"/>
      <c r="AI41" s="27"/>
      <c r="AJ41" s="67"/>
      <c r="AK41" s="207"/>
      <c r="AL41" s="194"/>
      <c r="AM41" s="196"/>
      <c r="AN41" s="27"/>
      <c r="AO41" s="67"/>
      <c r="AP41" s="207"/>
      <c r="AQ41" s="158"/>
      <c r="AR41" s="159"/>
      <c r="AS41" s="27"/>
      <c r="AT41" s="67"/>
      <c r="AU41" s="33"/>
    </row>
    <row r="42" spans="1:47" x14ac:dyDescent="0.25">
      <c r="A42" s="4" t="s">
        <v>9</v>
      </c>
      <c r="B42" s="125">
        <f>205285-1600+450</f>
        <v>204135</v>
      </c>
      <c r="C42" s="110"/>
      <c r="D42" s="111"/>
      <c r="E42" s="22" t="s">
        <v>214</v>
      </c>
      <c r="F42" s="67" t="s">
        <v>215</v>
      </c>
      <c r="G42" s="112">
        <f>209687+285</f>
        <v>209972</v>
      </c>
      <c r="H42" s="115"/>
      <c r="I42" s="150"/>
      <c r="J42" s="22" t="s">
        <v>214</v>
      </c>
      <c r="K42" s="67" t="s">
        <v>222</v>
      </c>
      <c r="L42" s="112">
        <f>235498-7800+265</f>
        <v>227963</v>
      </c>
      <c r="M42" s="115"/>
      <c r="N42" s="150"/>
      <c r="O42" s="22" t="s">
        <v>214</v>
      </c>
      <c r="P42" s="67" t="s">
        <v>222</v>
      </c>
      <c r="Q42" s="125">
        <f>11281+577-1468</f>
        <v>10390</v>
      </c>
      <c r="R42" s="122"/>
      <c r="S42" s="109"/>
      <c r="T42" s="45" t="s">
        <v>194</v>
      </c>
      <c r="U42" s="67" t="s">
        <v>199</v>
      </c>
      <c r="V42" s="79">
        <f>Q42*1.1723</f>
        <v>12180.196999999998</v>
      </c>
      <c r="W42" s="11"/>
      <c r="X42" s="11"/>
      <c r="Y42" s="45" t="s">
        <v>194</v>
      </c>
      <c r="Z42" s="48"/>
      <c r="AA42" s="192">
        <f>Q42*1.1525</f>
        <v>11974.475</v>
      </c>
      <c r="AB42" s="109"/>
      <c r="AC42" s="109"/>
      <c r="AD42" s="45" t="s">
        <v>194</v>
      </c>
      <c r="AE42" s="67"/>
      <c r="AF42" s="125">
        <f>12616+451-102</f>
        <v>12965</v>
      </c>
      <c r="AG42" s="122"/>
      <c r="AH42" s="109"/>
      <c r="AI42" s="45" t="s">
        <v>194</v>
      </c>
      <c r="AJ42" s="67" t="s">
        <v>199</v>
      </c>
      <c r="AK42" s="207">
        <f>AF42*0.791/0.681</f>
        <v>15059.199706314243</v>
      </c>
      <c r="AL42" s="194"/>
      <c r="AM42" s="190"/>
      <c r="AN42" s="45" t="s">
        <v>194</v>
      </c>
      <c r="AO42" s="67" t="s">
        <v>199</v>
      </c>
      <c r="AP42" s="207">
        <f>AF42*1.23305</f>
        <v>15986.49325</v>
      </c>
      <c r="AQ42" s="158"/>
      <c r="AR42" s="150"/>
      <c r="AS42" s="45" t="s">
        <v>194</v>
      </c>
      <c r="AT42" s="67" t="s">
        <v>199</v>
      </c>
      <c r="AU42" s="33"/>
    </row>
    <row r="43" spans="1:47" x14ac:dyDescent="0.25">
      <c r="B43" s="108"/>
      <c r="C43" s="110"/>
      <c r="D43" s="111"/>
      <c r="E43" s="22"/>
      <c r="F43" s="67"/>
      <c r="G43" s="154"/>
      <c r="H43" s="115"/>
      <c r="I43" s="150"/>
      <c r="J43" s="22"/>
      <c r="K43" s="67"/>
      <c r="L43" s="154"/>
      <c r="M43" s="115"/>
      <c r="N43" s="150"/>
      <c r="O43" s="22"/>
      <c r="P43" s="67"/>
      <c r="Q43" s="175"/>
      <c r="R43" s="109"/>
      <c r="S43" s="109"/>
      <c r="T43" s="26"/>
      <c r="U43" s="67"/>
      <c r="V43" s="80"/>
      <c r="W43" s="11"/>
      <c r="X43" s="11"/>
      <c r="Y43" s="26"/>
      <c r="Z43" s="48"/>
      <c r="AA43" s="197"/>
      <c r="AB43" s="109"/>
      <c r="AC43" s="109"/>
      <c r="AD43" s="26"/>
      <c r="AE43" s="67"/>
      <c r="AF43" s="175"/>
      <c r="AG43" s="109"/>
      <c r="AH43" s="109"/>
      <c r="AI43" s="26"/>
      <c r="AJ43" s="67"/>
      <c r="AK43" s="207"/>
      <c r="AL43" s="189"/>
      <c r="AM43" s="190"/>
      <c r="AN43" s="26"/>
      <c r="AO43" s="67"/>
      <c r="AP43" s="207"/>
      <c r="AQ43" s="115"/>
      <c r="AR43" s="150"/>
      <c r="AS43" s="26"/>
      <c r="AT43" s="67"/>
      <c r="AU43" s="33"/>
    </row>
    <row r="44" spans="1:47" x14ac:dyDescent="0.25">
      <c r="B44" s="108"/>
      <c r="C44" s="110"/>
      <c r="D44" s="111"/>
      <c r="E44" s="22"/>
      <c r="F44" s="67"/>
      <c r="G44" s="154"/>
      <c r="H44" s="115"/>
      <c r="I44" s="150"/>
      <c r="J44" s="22"/>
      <c r="K44" s="67"/>
      <c r="L44" s="154"/>
      <c r="M44" s="115"/>
      <c r="N44" s="150"/>
      <c r="O44" s="22"/>
      <c r="P44" s="67"/>
      <c r="Q44" s="175"/>
      <c r="R44" s="123"/>
      <c r="S44" s="124"/>
      <c r="T44" s="27"/>
      <c r="U44" s="67"/>
      <c r="V44" s="79"/>
      <c r="W44" s="59"/>
      <c r="X44" s="40"/>
      <c r="Y44" s="27"/>
      <c r="Z44" s="48"/>
      <c r="AA44" s="192"/>
      <c r="AB44" s="195"/>
      <c r="AC44" s="196"/>
      <c r="AD44" s="27"/>
      <c r="AE44" s="67"/>
      <c r="AF44" s="175"/>
      <c r="AG44" s="123"/>
      <c r="AH44" s="124"/>
      <c r="AI44" s="27"/>
      <c r="AJ44" s="67"/>
      <c r="AK44" s="207"/>
      <c r="AL44" s="194"/>
      <c r="AM44" s="196"/>
      <c r="AN44" s="27"/>
      <c r="AO44" s="67"/>
      <c r="AP44" s="207"/>
      <c r="AQ44" s="158"/>
      <c r="AR44" s="159"/>
      <c r="AS44" s="27"/>
      <c r="AT44" s="67"/>
      <c r="AU44" s="33"/>
    </row>
    <row r="45" spans="1:47" x14ac:dyDescent="0.25">
      <c r="A45" s="4" t="s">
        <v>135</v>
      </c>
      <c r="B45" s="125">
        <v>34680</v>
      </c>
      <c r="C45" s="115"/>
      <c r="D45" s="111"/>
      <c r="E45" s="22" t="s">
        <v>100</v>
      </c>
      <c r="F45" s="67"/>
      <c r="G45" s="112">
        <f>SUM(I47:I49)</f>
        <v>34357</v>
      </c>
      <c r="H45" s="115"/>
      <c r="I45" s="150"/>
      <c r="J45" s="22" t="s">
        <v>100</v>
      </c>
      <c r="K45" s="67"/>
      <c r="L45" s="112">
        <v>32650</v>
      </c>
      <c r="M45" s="115"/>
      <c r="N45" s="150"/>
      <c r="O45" s="22" t="s">
        <v>100</v>
      </c>
      <c r="P45" s="67"/>
      <c r="Q45" s="175">
        <v>0</v>
      </c>
      <c r="R45" s="123"/>
      <c r="S45" s="124"/>
      <c r="T45" s="27" t="s">
        <v>238</v>
      </c>
      <c r="U45" s="67"/>
      <c r="V45" s="79">
        <f t="shared" si="7"/>
        <v>0</v>
      </c>
      <c r="W45" s="59"/>
      <c r="X45" s="40"/>
      <c r="Y45" s="27" t="s">
        <v>232</v>
      </c>
      <c r="Z45" s="48"/>
      <c r="AA45" s="192">
        <f>Q45*1.1525</f>
        <v>0</v>
      </c>
      <c r="AB45" s="195"/>
      <c r="AC45" s="196"/>
      <c r="AD45" s="27" t="s">
        <v>232</v>
      </c>
      <c r="AE45" s="67"/>
      <c r="AF45" s="175">
        <v>0</v>
      </c>
      <c r="AG45" s="123"/>
      <c r="AH45" s="124"/>
      <c r="AI45" s="27" t="s">
        <v>232</v>
      </c>
      <c r="AJ45" s="67"/>
      <c r="AK45" s="207">
        <f>AF45*0.791/0.681</f>
        <v>0</v>
      </c>
      <c r="AL45" s="194"/>
      <c r="AM45" s="196"/>
      <c r="AN45" s="27" t="s">
        <v>232</v>
      </c>
      <c r="AO45" s="67"/>
      <c r="AP45" s="207">
        <v>0</v>
      </c>
      <c r="AQ45" s="158"/>
      <c r="AR45" s="159"/>
      <c r="AS45" s="27" t="s">
        <v>232</v>
      </c>
      <c r="AT45" s="67"/>
      <c r="AU45" s="33"/>
    </row>
    <row r="46" spans="1:47" x14ac:dyDescent="0.25">
      <c r="A46" s="1"/>
      <c r="B46" s="108"/>
      <c r="C46" s="127"/>
      <c r="D46" s="120"/>
      <c r="E46" s="22"/>
      <c r="F46" s="67"/>
      <c r="G46" s="154"/>
      <c r="H46" s="161"/>
      <c r="I46" s="118"/>
      <c r="J46" s="22"/>
      <c r="K46" s="67"/>
      <c r="L46" s="154"/>
      <c r="M46" s="161"/>
      <c r="N46" s="118"/>
      <c r="O46" s="22"/>
      <c r="P46" s="67"/>
      <c r="Q46" s="175"/>
      <c r="R46" s="123"/>
      <c r="S46" s="122"/>
      <c r="U46" s="67"/>
      <c r="V46" s="79"/>
      <c r="W46" s="59"/>
      <c r="X46" s="40"/>
      <c r="Z46" s="48"/>
      <c r="AA46" s="192"/>
      <c r="AB46" s="195"/>
      <c r="AC46" s="196"/>
      <c r="AE46" s="67"/>
      <c r="AF46" s="175"/>
      <c r="AG46" s="123"/>
      <c r="AH46" s="122"/>
      <c r="AJ46" s="67"/>
      <c r="AK46" s="207"/>
      <c r="AL46" s="194"/>
      <c r="AM46" s="196"/>
      <c r="AO46" s="67"/>
      <c r="AP46" s="207"/>
      <c r="AQ46" s="158"/>
      <c r="AR46" s="159"/>
      <c r="AT46" s="67"/>
      <c r="AU46" s="33"/>
    </row>
    <row r="47" spans="1:47" x14ac:dyDescent="0.25">
      <c r="A47" s="2" t="s">
        <v>23</v>
      </c>
      <c r="B47" s="108"/>
      <c r="C47" s="122"/>
      <c r="D47" s="117">
        <f>11890*34680/(11890+13321+10968)</f>
        <v>11397.363111197103</v>
      </c>
      <c r="E47" s="22" t="s">
        <v>100</v>
      </c>
      <c r="F47" s="67"/>
      <c r="G47" s="154"/>
      <c r="H47" s="122"/>
      <c r="I47" s="118">
        <v>10819</v>
      </c>
      <c r="J47" s="22" t="s">
        <v>100</v>
      </c>
      <c r="K47" s="67"/>
      <c r="L47" s="154"/>
      <c r="M47" s="122"/>
      <c r="N47" s="118">
        <v>2235</v>
      </c>
      <c r="O47" s="22" t="s">
        <v>100</v>
      </c>
      <c r="P47" s="67"/>
      <c r="Q47" s="175"/>
      <c r="R47" s="123"/>
      <c r="S47" s="124"/>
      <c r="T47" s="27"/>
      <c r="U47" s="67"/>
      <c r="V47" s="79"/>
      <c r="W47" s="59"/>
      <c r="X47" s="40"/>
      <c r="Y47" s="27"/>
      <c r="Z47" s="48"/>
      <c r="AA47" s="192"/>
      <c r="AB47" s="195"/>
      <c r="AC47" s="196"/>
      <c r="AD47" s="27"/>
      <c r="AE47" s="67"/>
      <c r="AF47" s="175"/>
      <c r="AG47" s="123"/>
      <c r="AH47" s="124"/>
      <c r="AI47" s="27"/>
      <c r="AJ47" s="67"/>
      <c r="AK47" s="207"/>
      <c r="AL47" s="194"/>
      <c r="AM47" s="196"/>
      <c r="AN47" s="27"/>
      <c r="AO47" s="67"/>
      <c r="AP47" s="207"/>
      <c r="AQ47" s="158"/>
      <c r="AR47" s="159"/>
      <c r="AS47" s="27"/>
      <c r="AT47" s="67"/>
      <c r="AU47" s="33"/>
    </row>
    <row r="48" spans="1:47" x14ac:dyDescent="0.25">
      <c r="A48" s="2" t="s">
        <v>21</v>
      </c>
      <c r="B48" s="108"/>
      <c r="C48" s="122"/>
      <c r="D48" s="117">
        <f>13321*34680/(11890+13321+10968)</f>
        <v>12769.072666463971</v>
      </c>
      <c r="E48" s="22" t="s">
        <v>100</v>
      </c>
      <c r="F48" s="67"/>
      <c r="G48" s="154"/>
      <c r="H48" s="122"/>
      <c r="I48" s="118">
        <v>11873</v>
      </c>
      <c r="J48" s="22" t="s">
        <v>100</v>
      </c>
      <c r="K48" s="67"/>
      <c r="L48" s="154"/>
      <c r="M48" s="122"/>
      <c r="N48" s="118">
        <v>2340</v>
      </c>
      <c r="O48" s="22" t="s">
        <v>100</v>
      </c>
      <c r="P48" s="67"/>
      <c r="Q48" s="175"/>
      <c r="R48" s="123"/>
      <c r="S48" s="124"/>
      <c r="T48" s="27"/>
      <c r="U48" s="67"/>
      <c r="V48" s="79"/>
      <c r="W48" s="59"/>
      <c r="X48" s="40"/>
      <c r="Y48" s="27"/>
      <c r="Z48" s="48"/>
      <c r="AA48" s="192"/>
      <c r="AB48" s="195"/>
      <c r="AC48" s="196"/>
      <c r="AD48" s="27"/>
      <c r="AE48" s="67"/>
      <c r="AF48" s="175"/>
      <c r="AG48" s="123"/>
      <c r="AH48" s="124"/>
      <c r="AI48" s="27"/>
      <c r="AJ48" s="67"/>
      <c r="AK48" s="207"/>
      <c r="AL48" s="194"/>
      <c r="AM48" s="196"/>
      <c r="AN48" s="27"/>
      <c r="AO48" s="67"/>
      <c r="AP48" s="207"/>
      <c r="AQ48" s="158"/>
      <c r="AR48" s="159"/>
      <c r="AS48" s="27"/>
      <c r="AT48" s="67"/>
      <c r="AU48" s="33"/>
    </row>
    <row r="49" spans="1:47" x14ac:dyDescent="0.25">
      <c r="A49" s="2" t="s">
        <v>22</v>
      </c>
      <c r="B49" s="108"/>
      <c r="C49" s="122"/>
      <c r="D49" s="117">
        <f>10968*34680/(11890+13321+10968)</f>
        <v>10513.564222338926</v>
      </c>
      <c r="E49" s="22" t="s">
        <v>100</v>
      </c>
      <c r="F49" s="67"/>
      <c r="G49" s="154"/>
      <c r="H49" s="122"/>
      <c r="I49" s="118">
        <v>11665</v>
      </c>
      <c r="J49" s="22" t="s">
        <v>100</v>
      </c>
      <c r="K49" s="67"/>
      <c r="L49" s="154"/>
      <c r="M49" s="122"/>
      <c r="N49" s="118">
        <v>2445</v>
      </c>
      <c r="O49" s="22" t="s">
        <v>100</v>
      </c>
      <c r="P49" s="67"/>
      <c r="Q49" s="175"/>
      <c r="R49" s="123"/>
      <c r="S49" s="124"/>
      <c r="T49" s="27"/>
      <c r="U49" s="67"/>
      <c r="V49" s="79"/>
      <c r="W49" s="59"/>
      <c r="X49" s="40"/>
      <c r="Y49" s="27"/>
      <c r="Z49" s="48"/>
      <c r="AA49" s="192"/>
      <c r="AB49" s="195"/>
      <c r="AC49" s="196"/>
      <c r="AD49" s="27"/>
      <c r="AE49" s="67"/>
      <c r="AF49" s="175"/>
      <c r="AG49" s="123"/>
      <c r="AH49" s="124"/>
      <c r="AI49" s="27"/>
      <c r="AJ49" s="67"/>
      <c r="AK49" s="207"/>
      <c r="AL49" s="194"/>
      <c r="AM49" s="196"/>
      <c r="AN49" s="27"/>
      <c r="AO49" s="67"/>
      <c r="AP49" s="207"/>
      <c r="AQ49" s="158"/>
      <c r="AR49" s="159"/>
      <c r="AS49" s="27"/>
      <c r="AT49" s="67"/>
      <c r="AU49" s="33"/>
    </row>
    <row r="50" spans="1:47" x14ac:dyDescent="0.25">
      <c r="A50" s="2" t="s">
        <v>229</v>
      </c>
      <c r="B50" s="108"/>
      <c r="C50" s="110"/>
      <c r="D50" s="111"/>
      <c r="E50" s="22"/>
      <c r="F50" s="67"/>
      <c r="G50" s="154"/>
      <c r="H50" s="161"/>
      <c r="I50" s="150"/>
      <c r="J50" s="22"/>
      <c r="K50" s="67"/>
      <c r="L50" s="154"/>
      <c r="M50" s="122"/>
      <c r="N50" s="118">
        <v>25630</v>
      </c>
      <c r="O50" s="22" t="s">
        <v>100</v>
      </c>
      <c r="P50" s="67"/>
      <c r="Q50" s="175"/>
      <c r="R50" s="123"/>
      <c r="S50" s="124"/>
      <c r="T50" s="27"/>
      <c r="U50" s="67"/>
      <c r="V50" s="79"/>
      <c r="W50" s="59"/>
      <c r="X50" s="40"/>
      <c r="Y50" s="27"/>
      <c r="Z50" s="48"/>
      <c r="AA50" s="192"/>
      <c r="AB50" s="195"/>
      <c r="AC50" s="196"/>
      <c r="AD50" s="27"/>
      <c r="AE50" s="67"/>
      <c r="AF50" s="175"/>
      <c r="AG50" s="123"/>
      <c r="AH50" s="124"/>
      <c r="AI50" s="27"/>
      <c r="AJ50" s="67"/>
      <c r="AK50" s="207"/>
      <c r="AL50" s="194"/>
      <c r="AM50" s="196"/>
      <c r="AN50" s="27"/>
      <c r="AO50" s="67"/>
      <c r="AP50" s="207"/>
      <c r="AQ50" s="158"/>
      <c r="AR50" s="159"/>
      <c r="AS50" s="27"/>
      <c r="AT50" s="67"/>
      <c r="AU50" s="33"/>
    </row>
    <row r="51" spans="1:47" x14ac:dyDescent="0.25">
      <c r="B51" s="108"/>
      <c r="C51" s="110"/>
      <c r="D51" s="111"/>
      <c r="E51" s="22"/>
      <c r="F51" s="67"/>
      <c r="G51" s="154"/>
      <c r="H51" s="161"/>
      <c r="I51" s="150"/>
      <c r="J51" s="22"/>
      <c r="K51" s="67"/>
      <c r="L51" s="154"/>
      <c r="M51" s="161"/>
      <c r="N51" s="150"/>
      <c r="O51" s="22"/>
      <c r="P51" s="67"/>
      <c r="Q51" s="175"/>
      <c r="R51" s="123"/>
      <c r="S51" s="124"/>
      <c r="T51" s="27"/>
      <c r="U51" s="67"/>
      <c r="V51" s="79"/>
      <c r="W51" s="59"/>
      <c r="X51" s="40"/>
      <c r="Y51" s="27"/>
      <c r="Z51" s="48"/>
      <c r="AA51" s="192"/>
      <c r="AB51" s="195"/>
      <c r="AC51" s="196"/>
      <c r="AD51" s="27"/>
      <c r="AE51" s="67"/>
      <c r="AF51" s="175"/>
      <c r="AG51" s="123"/>
      <c r="AH51" s="124"/>
      <c r="AI51" s="27"/>
      <c r="AJ51" s="67"/>
      <c r="AK51" s="207"/>
      <c r="AL51" s="194"/>
      <c r="AM51" s="196"/>
      <c r="AN51" s="27"/>
      <c r="AO51" s="67"/>
      <c r="AP51" s="207"/>
      <c r="AQ51" s="158"/>
      <c r="AR51" s="159"/>
      <c r="AS51" s="27"/>
      <c r="AT51" s="67"/>
      <c r="AU51" s="33"/>
    </row>
    <row r="52" spans="1:47" x14ac:dyDescent="0.25">
      <c r="B52" s="108"/>
      <c r="C52" s="110"/>
      <c r="D52" s="111"/>
      <c r="E52" s="22"/>
      <c r="F52" s="67"/>
      <c r="G52" s="154"/>
      <c r="H52" s="115"/>
      <c r="I52" s="150"/>
      <c r="J52" s="22"/>
      <c r="K52" s="67"/>
      <c r="L52" s="154"/>
      <c r="M52" s="115"/>
      <c r="N52" s="150"/>
      <c r="O52" s="22"/>
      <c r="P52" s="67"/>
      <c r="Q52" s="175"/>
      <c r="R52" s="123"/>
      <c r="S52" s="124"/>
      <c r="T52" s="27"/>
      <c r="U52" s="67"/>
      <c r="V52" s="79"/>
      <c r="W52" s="59"/>
      <c r="X52" s="40"/>
      <c r="Y52" s="27"/>
      <c r="Z52" s="48"/>
      <c r="AA52" s="192"/>
      <c r="AB52" s="195"/>
      <c r="AC52" s="196"/>
      <c r="AD52" s="27"/>
      <c r="AE52" s="67"/>
      <c r="AF52" s="175"/>
      <c r="AG52" s="123"/>
      <c r="AH52" s="124"/>
      <c r="AI52" s="27"/>
      <c r="AJ52" s="67"/>
      <c r="AK52" s="207"/>
      <c r="AL52" s="194"/>
      <c r="AM52" s="196"/>
      <c r="AN52" s="27"/>
      <c r="AO52" s="67"/>
      <c r="AP52" s="207"/>
      <c r="AQ52" s="158"/>
      <c r="AR52" s="159"/>
      <c r="AS52" s="27"/>
      <c r="AT52" s="67"/>
      <c r="AU52" s="33"/>
    </row>
    <row r="53" spans="1:47" x14ac:dyDescent="0.25">
      <c r="A53" s="4" t="s">
        <v>13</v>
      </c>
      <c r="B53" s="125">
        <f>SUM(D55:D56)</f>
        <v>142014</v>
      </c>
      <c r="C53" s="110"/>
      <c r="D53" s="111"/>
      <c r="E53" s="22"/>
      <c r="F53" s="67"/>
      <c r="G53" s="112">
        <f>SUM(I55:I56)</f>
        <v>135366</v>
      </c>
      <c r="H53" s="115"/>
      <c r="I53" s="150"/>
      <c r="J53" s="22"/>
      <c r="K53" s="67"/>
      <c r="L53" s="112">
        <f>SUM(N55:N56)</f>
        <v>194005</v>
      </c>
      <c r="M53" s="115"/>
      <c r="N53" s="150"/>
      <c r="O53" s="22"/>
      <c r="P53" s="67"/>
      <c r="Q53" s="175">
        <f>SUM(S55:S56)</f>
        <v>104935</v>
      </c>
      <c r="R53" s="123"/>
      <c r="S53" s="124"/>
      <c r="T53" s="27"/>
      <c r="U53" s="67"/>
      <c r="V53" s="79">
        <f t="shared" si="7"/>
        <v>123015.30049999998</v>
      </c>
      <c r="W53" s="59"/>
      <c r="X53" s="40"/>
      <c r="Y53" s="27"/>
      <c r="Z53" s="48"/>
      <c r="AA53" s="192">
        <f>Q53*1.1525</f>
        <v>120937.58750000001</v>
      </c>
      <c r="AB53" s="195"/>
      <c r="AC53" s="196"/>
      <c r="AD53" s="27"/>
      <c r="AE53" s="67"/>
      <c r="AF53" s="175">
        <f>SUM(AH55:AH56)</f>
        <v>104102</v>
      </c>
      <c r="AG53" s="123"/>
      <c r="AH53" s="124"/>
      <c r="AI53" s="27"/>
      <c r="AJ53" s="67"/>
      <c r="AK53" s="207">
        <f>AF53*0.791/0.681</f>
        <v>120917.30102790013</v>
      </c>
      <c r="AL53" s="194"/>
      <c r="AM53" s="196"/>
      <c r="AN53" s="27"/>
      <c r="AO53" s="67"/>
      <c r="AP53" s="207">
        <f>AF53*1.23305</f>
        <v>128362.9711</v>
      </c>
      <c r="AQ53" s="158"/>
      <c r="AR53" s="159"/>
      <c r="AS53" s="27"/>
      <c r="AT53" s="67"/>
      <c r="AU53" s="33"/>
    </row>
    <row r="54" spans="1:47" x14ac:dyDescent="0.25">
      <c r="B54" s="108"/>
      <c r="C54" s="110"/>
      <c r="D54" s="111"/>
      <c r="E54" s="22"/>
      <c r="F54" s="67"/>
      <c r="G54" s="154"/>
      <c r="H54" s="115"/>
      <c r="I54" s="150"/>
      <c r="J54" s="22"/>
      <c r="K54" s="67"/>
      <c r="L54" s="154"/>
      <c r="M54" s="115"/>
      <c r="N54" s="150"/>
      <c r="O54" s="22"/>
      <c r="P54" s="67"/>
      <c r="Q54" s="175"/>
      <c r="R54" s="123"/>
      <c r="S54" s="124"/>
      <c r="T54" s="27"/>
      <c r="U54" s="67"/>
      <c r="V54" s="79"/>
      <c r="W54" s="59"/>
      <c r="X54" s="40"/>
      <c r="Y54" s="27"/>
      <c r="Z54" s="48"/>
      <c r="AA54" s="192"/>
      <c r="AB54" s="195"/>
      <c r="AC54" s="196"/>
      <c r="AD54" s="27"/>
      <c r="AE54" s="67"/>
      <c r="AF54" s="175"/>
      <c r="AG54" s="123"/>
      <c r="AH54" s="124"/>
      <c r="AI54" s="27"/>
      <c r="AJ54" s="67"/>
      <c r="AK54" s="207"/>
      <c r="AL54" s="194"/>
      <c r="AM54" s="196"/>
      <c r="AN54" s="27"/>
      <c r="AO54" s="67"/>
      <c r="AP54" s="207"/>
      <c r="AQ54" s="158"/>
      <c r="AR54" s="159"/>
      <c r="AS54" s="27"/>
      <c r="AT54" s="67"/>
      <c r="AU54" s="33"/>
    </row>
    <row r="55" spans="1:47" x14ac:dyDescent="0.25">
      <c r="A55" s="2" t="s">
        <v>14</v>
      </c>
      <c r="B55" s="114"/>
      <c r="C55" s="122"/>
      <c r="D55" s="111">
        <v>32280</v>
      </c>
      <c r="E55" s="22" t="s">
        <v>80</v>
      </c>
      <c r="F55" s="67"/>
      <c r="G55" s="152"/>
      <c r="H55" s="122"/>
      <c r="I55" s="150">
        <v>26177</v>
      </c>
      <c r="J55" s="22" t="s">
        <v>80</v>
      </c>
      <c r="K55" s="67"/>
      <c r="L55" s="152"/>
      <c r="M55" s="122"/>
      <c r="N55" s="150">
        <v>30416</v>
      </c>
      <c r="O55" s="22" t="s">
        <v>80</v>
      </c>
      <c r="P55" s="67"/>
      <c r="Q55" s="175"/>
      <c r="S55" s="124">
        <v>10942</v>
      </c>
      <c r="T55" s="27" t="s">
        <v>54</v>
      </c>
      <c r="U55" s="67"/>
      <c r="V55" s="79"/>
      <c r="X55" s="40">
        <f>S55*1.1723</f>
        <v>12827.306599999998</v>
      </c>
      <c r="Y55" s="27" t="s">
        <v>54</v>
      </c>
      <c r="Z55" s="48"/>
      <c r="AA55" s="192"/>
      <c r="AC55" s="196">
        <f>S55*1.1525</f>
        <v>12610.655000000001</v>
      </c>
      <c r="AD55" s="27" t="s">
        <v>54</v>
      </c>
      <c r="AE55" s="67"/>
      <c r="AF55" s="175"/>
      <c r="AH55" s="124">
        <v>11285</v>
      </c>
      <c r="AI55" s="27" t="s">
        <v>54</v>
      </c>
      <c r="AJ55" s="67"/>
      <c r="AK55" s="207"/>
      <c r="AM55" s="196">
        <f>AH55*0.791/0.681</f>
        <v>13107.834067547725</v>
      </c>
      <c r="AN55" s="27" t="s">
        <v>54</v>
      </c>
      <c r="AO55" s="67"/>
      <c r="AP55" s="207"/>
      <c r="AR55" s="159">
        <f>AH55*1.23305</f>
        <v>13914.96925</v>
      </c>
      <c r="AS55" s="27" t="s">
        <v>54</v>
      </c>
      <c r="AT55" s="67"/>
      <c r="AU55" s="33"/>
    </row>
    <row r="56" spans="1:47" x14ac:dyDescent="0.25">
      <c r="A56" s="2" t="s">
        <v>138</v>
      </c>
      <c r="B56" s="108"/>
      <c r="C56" s="122"/>
      <c r="D56" s="111">
        <f>C115</f>
        <v>109734</v>
      </c>
      <c r="E56" s="22"/>
      <c r="F56" s="67" t="s">
        <v>212</v>
      </c>
      <c r="G56" s="154"/>
      <c r="H56" s="122"/>
      <c r="I56" s="150">
        <f>H115</f>
        <v>109189</v>
      </c>
      <c r="J56" s="22"/>
      <c r="K56" s="67" t="s">
        <v>212</v>
      </c>
      <c r="L56" s="154"/>
      <c r="M56" s="122"/>
      <c r="N56" s="150">
        <f>M115</f>
        <v>163589</v>
      </c>
      <c r="O56" s="22"/>
      <c r="P56" s="67" t="s">
        <v>212</v>
      </c>
      <c r="Q56" s="175"/>
      <c r="S56" s="124">
        <v>93993</v>
      </c>
      <c r="T56" s="22"/>
      <c r="U56" s="67" t="s">
        <v>212</v>
      </c>
      <c r="V56" s="79"/>
      <c r="X56" s="40">
        <f>S56*1.1723</f>
        <v>110187.99389999999</v>
      </c>
      <c r="Y56" s="22"/>
      <c r="Z56" s="67" t="s">
        <v>212</v>
      </c>
      <c r="AA56" s="192"/>
      <c r="AC56" s="196">
        <f>S56*1.1525</f>
        <v>108326.93250000001</v>
      </c>
      <c r="AD56" s="22"/>
      <c r="AE56" s="67" t="s">
        <v>212</v>
      </c>
      <c r="AF56" s="175"/>
      <c r="AH56" s="124">
        <f>AG115</f>
        <v>92817</v>
      </c>
      <c r="AI56" s="22"/>
      <c r="AJ56" s="67" t="s">
        <v>212</v>
      </c>
      <c r="AK56" s="207"/>
      <c r="AM56" s="196">
        <f>AH56*0.791/0.681</f>
        <v>107809.46696035242</v>
      </c>
      <c r="AN56" s="22"/>
      <c r="AO56" s="67" t="s">
        <v>212</v>
      </c>
      <c r="AP56" s="207"/>
      <c r="AR56" s="159">
        <f>AH56*1.23305</f>
        <v>114448.00185</v>
      </c>
      <c r="AS56" s="22"/>
      <c r="AT56" s="67" t="s">
        <v>212</v>
      </c>
      <c r="AU56" s="33"/>
    </row>
    <row r="57" spans="1:47" x14ac:dyDescent="0.25">
      <c r="A57" s="1"/>
      <c r="B57" s="108"/>
      <c r="C57" s="110"/>
      <c r="D57" s="111"/>
      <c r="E57" s="22"/>
      <c r="F57" s="67"/>
      <c r="G57" s="154"/>
      <c r="H57" s="115"/>
      <c r="I57" s="150"/>
      <c r="J57" s="22"/>
      <c r="K57" s="67"/>
      <c r="L57" s="154"/>
      <c r="M57" s="115"/>
      <c r="N57" s="150"/>
      <c r="O57" s="22"/>
      <c r="P57" s="67"/>
      <c r="Q57" s="175"/>
      <c r="R57" s="123"/>
      <c r="S57" s="124"/>
      <c r="T57" s="27"/>
      <c r="U57" s="67"/>
      <c r="V57" s="79"/>
      <c r="W57" s="59"/>
      <c r="X57" s="40"/>
      <c r="Y57" s="27"/>
      <c r="Z57" s="48"/>
      <c r="AA57" s="192"/>
      <c r="AB57" s="195"/>
      <c r="AC57" s="196"/>
      <c r="AD57" s="27"/>
      <c r="AE57" s="67"/>
      <c r="AF57" s="175"/>
      <c r="AG57" s="123"/>
      <c r="AH57" s="124"/>
      <c r="AI57" s="27"/>
      <c r="AJ57" s="67"/>
      <c r="AK57" s="207"/>
      <c r="AL57" s="194"/>
      <c r="AM57" s="196"/>
      <c r="AN57" s="27"/>
      <c r="AO57" s="67"/>
      <c r="AP57" s="207"/>
      <c r="AQ57" s="158"/>
      <c r="AR57" s="159"/>
      <c r="AS57" s="27"/>
      <c r="AT57" s="67"/>
      <c r="AU57" s="33"/>
    </row>
    <row r="58" spans="1:47" x14ac:dyDescent="0.25">
      <c r="A58" s="1"/>
      <c r="B58" s="108"/>
      <c r="C58" s="127"/>
      <c r="D58" s="111"/>
      <c r="E58" s="22"/>
      <c r="F58" s="67"/>
      <c r="G58" s="154"/>
      <c r="H58" s="161"/>
      <c r="I58" s="150"/>
      <c r="J58" s="22"/>
      <c r="K58" s="67"/>
      <c r="L58" s="154"/>
      <c r="M58" s="161"/>
      <c r="N58" s="150"/>
      <c r="O58" s="22"/>
      <c r="P58" s="67"/>
      <c r="Q58" s="175"/>
      <c r="R58" s="123"/>
      <c r="S58" s="124"/>
      <c r="T58" s="27"/>
      <c r="U58" s="67"/>
      <c r="V58" s="79"/>
      <c r="W58" s="59"/>
      <c r="X58" s="40"/>
      <c r="Y58" s="27"/>
      <c r="Z58" s="48"/>
      <c r="AA58" s="192"/>
      <c r="AB58" s="195"/>
      <c r="AC58" s="196"/>
      <c r="AD58" s="27"/>
      <c r="AE58" s="67"/>
      <c r="AF58" s="175"/>
      <c r="AG58" s="123"/>
      <c r="AH58" s="124"/>
      <c r="AI58" s="27"/>
      <c r="AJ58" s="67"/>
      <c r="AK58" s="207"/>
      <c r="AL58" s="194"/>
      <c r="AM58" s="196"/>
      <c r="AN58" s="27"/>
      <c r="AO58" s="67"/>
      <c r="AP58" s="207"/>
      <c r="AQ58" s="158"/>
      <c r="AR58" s="159"/>
      <c r="AS58" s="27"/>
      <c r="AT58" s="67"/>
      <c r="AU58" s="33"/>
    </row>
    <row r="59" spans="1:47" x14ac:dyDescent="0.25">
      <c r="A59" s="29" t="s">
        <v>41</v>
      </c>
      <c r="B59" s="125">
        <f>29037-2170-215-200-30</f>
        <v>26422</v>
      </c>
      <c r="C59" s="127"/>
      <c r="D59" s="111"/>
      <c r="E59" s="22" t="s">
        <v>116</v>
      </c>
      <c r="F59" s="67"/>
      <c r="G59" s="112">
        <v>24955</v>
      </c>
      <c r="H59" s="161"/>
      <c r="I59" s="150"/>
      <c r="J59" s="22" t="s">
        <v>116</v>
      </c>
      <c r="K59" s="67"/>
      <c r="L59" s="112">
        <v>66392</v>
      </c>
      <c r="M59" s="161"/>
      <c r="N59" s="150"/>
      <c r="O59" s="22" t="s">
        <v>116</v>
      </c>
      <c r="P59" s="67"/>
      <c r="Q59" s="175">
        <f>135+9357</f>
        <v>9492</v>
      </c>
      <c r="R59" s="123"/>
      <c r="S59" s="124"/>
      <c r="T59" s="27" t="s">
        <v>62</v>
      </c>
      <c r="U59" s="67"/>
      <c r="V59" s="79">
        <f t="shared" ref="V59:V67" si="10">Q59*1.1723</f>
        <v>11127.471599999999</v>
      </c>
      <c r="W59" s="59"/>
      <c r="X59" s="40"/>
      <c r="Y59" s="27" t="s">
        <v>62</v>
      </c>
      <c r="Z59" s="48"/>
      <c r="AA59" s="192">
        <f>Q59*1.1525</f>
        <v>10939.53</v>
      </c>
      <c r="AB59" s="195"/>
      <c r="AC59" s="196"/>
      <c r="AD59" s="27" t="s">
        <v>62</v>
      </c>
      <c r="AE59" s="67"/>
      <c r="AF59" s="175">
        <f>43+17255</f>
        <v>17298</v>
      </c>
      <c r="AG59" s="123"/>
      <c r="AH59" s="124"/>
      <c r="AI59" s="27" t="s">
        <v>62</v>
      </c>
      <c r="AJ59" s="67"/>
      <c r="AK59" s="207">
        <f>AF59*0.791/0.681</f>
        <v>20092.096916299561</v>
      </c>
      <c r="AL59" s="194"/>
      <c r="AM59" s="196"/>
      <c r="AN59" s="27" t="s">
        <v>62</v>
      </c>
      <c r="AO59" s="67"/>
      <c r="AP59" s="207">
        <f>AF59*1.23305</f>
        <v>21329.298899999998</v>
      </c>
      <c r="AQ59" s="158"/>
      <c r="AR59" s="159"/>
      <c r="AS59" s="27" t="s">
        <v>62</v>
      </c>
      <c r="AT59" s="67"/>
      <c r="AU59" s="33"/>
    </row>
    <row r="60" spans="1:47" x14ac:dyDescent="0.25">
      <c r="A60" s="2" t="s">
        <v>170</v>
      </c>
      <c r="B60" s="108"/>
      <c r="C60" s="110"/>
      <c r="D60" s="120">
        <v>1439</v>
      </c>
      <c r="E60" s="17" t="s">
        <v>115</v>
      </c>
      <c r="F60" s="67"/>
      <c r="G60" s="154"/>
      <c r="H60" s="115"/>
      <c r="I60" s="118">
        <v>1232</v>
      </c>
      <c r="J60" s="17" t="s">
        <v>115</v>
      </c>
      <c r="K60" s="67"/>
      <c r="L60" s="154"/>
      <c r="M60" s="115"/>
      <c r="N60" s="118">
        <v>5886</v>
      </c>
      <c r="O60" s="17" t="s">
        <v>115</v>
      </c>
      <c r="P60" s="67"/>
      <c r="Q60" s="175"/>
      <c r="R60" s="123"/>
      <c r="S60" s="124"/>
      <c r="T60" s="27"/>
      <c r="U60" s="67"/>
      <c r="V60" s="79"/>
      <c r="W60" s="59"/>
      <c r="X60" s="40"/>
      <c r="Y60" s="27"/>
      <c r="Z60" s="48"/>
      <c r="AA60" s="192"/>
      <c r="AB60" s="195"/>
      <c r="AC60" s="196"/>
      <c r="AD60" s="27"/>
      <c r="AE60" s="67"/>
      <c r="AF60" s="175"/>
      <c r="AG60" s="123"/>
      <c r="AH60" s="124"/>
      <c r="AI60" s="27"/>
      <c r="AJ60" s="67"/>
      <c r="AK60" s="207"/>
      <c r="AL60" s="194"/>
      <c r="AM60" s="196"/>
      <c r="AN60" s="27"/>
      <c r="AO60" s="67"/>
      <c r="AP60" s="207"/>
      <c r="AQ60" s="158"/>
      <c r="AR60" s="159"/>
      <c r="AS60" s="27"/>
      <c r="AT60" s="67"/>
      <c r="AU60" s="33"/>
    </row>
    <row r="61" spans="1:47" x14ac:dyDescent="0.25">
      <c r="A61" s="2" t="s">
        <v>171</v>
      </c>
      <c r="B61" s="108"/>
      <c r="C61" s="110"/>
      <c r="D61" s="120">
        <v>6844</v>
      </c>
      <c r="E61" s="17" t="s">
        <v>115</v>
      </c>
      <c r="F61" s="67"/>
      <c r="G61" s="154"/>
      <c r="H61" s="115"/>
      <c r="I61" s="118">
        <v>7593</v>
      </c>
      <c r="J61" s="17" t="s">
        <v>115</v>
      </c>
      <c r="K61" s="67"/>
      <c r="L61" s="154"/>
      <c r="M61" s="115"/>
      <c r="N61" s="118">
        <v>16786</v>
      </c>
      <c r="O61" s="17" t="s">
        <v>115</v>
      </c>
      <c r="P61" s="67"/>
      <c r="Q61" s="175"/>
      <c r="R61" s="123"/>
      <c r="S61" s="124"/>
      <c r="T61" s="27"/>
      <c r="U61" s="67"/>
      <c r="V61" s="79"/>
      <c r="W61" s="59"/>
      <c r="X61" s="40"/>
      <c r="Y61" s="27"/>
      <c r="Z61" s="48"/>
      <c r="AA61" s="192"/>
      <c r="AB61" s="195"/>
      <c r="AC61" s="196"/>
      <c r="AD61" s="27"/>
      <c r="AE61" s="67"/>
      <c r="AF61" s="175"/>
      <c r="AG61" s="123"/>
      <c r="AH61" s="124"/>
      <c r="AI61" s="27"/>
      <c r="AJ61" s="67"/>
      <c r="AK61" s="207"/>
      <c r="AL61" s="194"/>
      <c r="AM61" s="196"/>
      <c r="AN61" s="27"/>
      <c r="AO61" s="67"/>
      <c r="AP61" s="207"/>
      <c r="AQ61" s="158"/>
      <c r="AR61" s="159"/>
      <c r="AS61" s="27"/>
      <c r="AT61" s="67"/>
      <c r="AU61" s="33"/>
    </row>
    <row r="62" spans="1:47" x14ac:dyDescent="0.25">
      <c r="A62" s="4"/>
      <c r="B62" s="128"/>
      <c r="C62" s="127"/>
      <c r="D62" s="120"/>
      <c r="E62" s="22"/>
      <c r="F62" s="67"/>
      <c r="G62" s="136"/>
      <c r="H62" s="161"/>
      <c r="I62" s="150"/>
      <c r="J62" s="22"/>
      <c r="K62" s="67"/>
      <c r="L62" s="136"/>
      <c r="M62" s="161"/>
      <c r="N62" s="118"/>
      <c r="O62" s="22"/>
      <c r="P62" s="67"/>
      <c r="Q62" s="175"/>
      <c r="R62" s="123"/>
      <c r="S62" s="124"/>
      <c r="T62" s="27"/>
      <c r="U62" s="67"/>
      <c r="V62" s="79"/>
      <c r="W62" s="59"/>
      <c r="X62" s="40"/>
      <c r="Y62" s="27"/>
      <c r="Z62" s="48"/>
      <c r="AA62" s="192"/>
      <c r="AB62" s="195"/>
      <c r="AC62" s="196"/>
      <c r="AD62" s="27"/>
      <c r="AE62" s="67"/>
      <c r="AF62" s="175"/>
      <c r="AG62" s="123"/>
      <c r="AH62" s="124"/>
      <c r="AI62" s="27"/>
      <c r="AJ62" s="67"/>
      <c r="AK62" s="207"/>
      <c r="AL62" s="194"/>
      <c r="AM62" s="196"/>
      <c r="AN62" s="27"/>
      <c r="AO62" s="67"/>
      <c r="AP62" s="207"/>
      <c r="AQ62" s="158"/>
      <c r="AR62" s="159"/>
      <c r="AS62" s="27"/>
      <c r="AT62" s="67"/>
      <c r="AU62" s="33"/>
    </row>
    <row r="63" spans="1:47" x14ac:dyDescent="0.25">
      <c r="A63" s="4"/>
      <c r="B63" s="128"/>
      <c r="C63" s="127"/>
      <c r="D63" s="111"/>
      <c r="E63" s="22"/>
      <c r="F63" s="67"/>
      <c r="G63" s="136"/>
      <c r="H63" s="161"/>
      <c r="I63" s="150"/>
      <c r="J63" s="22"/>
      <c r="K63" s="67"/>
      <c r="L63" s="136"/>
      <c r="M63" s="161"/>
      <c r="N63" s="150"/>
      <c r="O63" s="22"/>
      <c r="P63" s="67"/>
      <c r="Q63" s="175"/>
      <c r="R63" s="123"/>
      <c r="S63" s="124"/>
      <c r="T63" s="27"/>
      <c r="U63" s="67"/>
      <c r="V63" s="79"/>
      <c r="W63" s="59"/>
      <c r="X63" s="40"/>
      <c r="Y63" s="27"/>
      <c r="Z63" s="48"/>
      <c r="AA63" s="192"/>
      <c r="AB63" s="195"/>
      <c r="AC63" s="196"/>
      <c r="AD63" s="27"/>
      <c r="AE63" s="67"/>
      <c r="AF63" s="175"/>
      <c r="AG63" s="123"/>
      <c r="AH63" s="124"/>
      <c r="AI63" s="27"/>
      <c r="AJ63" s="67"/>
      <c r="AK63" s="207"/>
      <c r="AL63" s="194"/>
      <c r="AM63" s="196"/>
      <c r="AN63" s="27"/>
      <c r="AO63" s="67"/>
      <c r="AP63" s="207"/>
      <c r="AQ63" s="158"/>
      <c r="AR63" s="159"/>
      <c r="AS63" s="27"/>
      <c r="AT63" s="67"/>
      <c r="AU63" s="33"/>
    </row>
    <row r="64" spans="1:47" x14ac:dyDescent="0.25">
      <c r="A64" s="4" t="s">
        <v>42</v>
      </c>
      <c r="B64" s="125">
        <v>144401</v>
      </c>
      <c r="C64" s="110"/>
      <c r="D64" s="111"/>
      <c r="E64" s="22" t="s">
        <v>117</v>
      </c>
      <c r="F64" s="67"/>
      <c r="G64" s="112">
        <v>68901</v>
      </c>
      <c r="H64" s="115"/>
      <c r="I64" s="150"/>
      <c r="J64" s="22" t="s">
        <v>117</v>
      </c>
      <c r="K64" s="67"/>
      <c r="L64" s="112">
        <v>70032</v>
      </c>
      <c r="M64" s="115"/>
      <c r="N64" s="150"/>
      <c r="O64" s="22" t="s">
        <v>117</v>
      </c>
      <c r="P64" s="67"/>
      <c r="Q64" s="175">
        <v>6600</v>
      </c>
      <c r="R64" s="123"/>
      <c r="S64" s="124"/>
      <c r="T64" s="27" t="s">
        <v>56</v>
      </c>
      <c r="U64" s="67" t="s">
        <v>160</v>
      </c>
      <c r="V64" s="79">
        <f t="shared" si="10"/>
        <v>7737.1799999999994</v>
      </c>
      <c r="W64" s="59"/>
      <c r="X64" s="40"/>
      <c r="Y64" s="27" t="s">
        <v>56</v>
      </c>
      <c r="Z64" s="48"/>
      <c r="AA64" s="192">
        <f>Q64*1.1525</f>
        <v>7606.5000000000009</v>
      </c>
      <c r="AB64" s="195"/>
      <c r="AC64" s="196"/>
      <c r="AD64" s="27" t="s">
        <v>56</v>
      </c>
      <c r="AE64" s="67"/>
      <c r="AF64" s="175">
        <v>6936</v>
      </c>
      <c r="AG64" s="123"/>
      <c r="AH64" s="124"/>
      <c r="AI64" s="27" t="s">
        <v>56</v>
      </c>
      <c r="AJ64" s="67" t="s">
        <v>160</v>
      </c>
      <c r="AK64" s="207">
        <f>AF64*0.791/0.681</f>
        <v>8056.3524229074883</v>
      </c>
      <c r="AL64" s="194"/>
      <c r="AM64" s="196"/>
      <c r="AN64" s="27" t="s">
        <v>56</v>
      </c>
      <c r="AO64" s="67" t="s">
        <v>160</v>
      </c>
      <c r="AP64" s="207">
        <f>AF64*1.23305</f>
        <v>8552.4347999999991</v>
      </c>
      <c r="AQ64" s="158"/>
      <c r="AR64" s="159"/>
      <c r="AS64" s="27" t="s">
        <v>56</v>
      </c>
      <c r="AT64" s="67" t="s">
        <v>160</v>
      </c>
      <c r="AU64" s="33"/>
    </row>
    <row r="65" spans="1:47" x14ac:dyDescent="0.25">
      <c r="B65" s="130"/>
      <c r="C65" s="110"/>
      <c r="D65" s="111"/>
      <c r="E65" s="22"/>
      <c r="F65" s="67"/>
      <c r="G65" s="163"/>
      <c r="H65" s="115"/>
      <c r="I65" s="150"/>
      <c r="J65" s="22"/>
      <c r="K65" s="67"/>
      <c r="L65" s="163"/>
      <c r="M65" s="115"/>
      <c r="N65" s="150"/>
      <c r="O65" s="22"/>
      <c r="P65" s="67"/>
      <c r="Q65" s="175"/>
      <c r="R65" s="123"/>
      <c r="S65" s="124"/>
      <c r="T65" s="27"/>
      <c r="U65" s="67"/>
      <c r="V65" s="79"/>
      <c r="W65" s="59"/>
      <c r="X65" s="40"/>
      <c r="Y65" s="27"/>
      <c r="Z65" s="48"/>
      <c r="AA65" s="192"/>
      <c r="AB65" s="195"/>
      <c r="AC65" s="196"/>
      <c r="AD65" s="27"/>
      <c r="AE65" s="67"/>
      <c r="AF65" s="175"/>
      <c r="AG65" s="123"/>
      <c r="AH65" s="124"/>
      <c r="AI65" s="27"/>
      <c r="AJ65" s="67"/>
      <c r="AK65" s="207"/>
      <c r="AL65" s="194"/>
      <c r="AM65" s="196"/>
      <c r="AN65" s="27"/>
      <c r="AO65" s="67"/>
      <c r="AP65" s="207"/>
      <c r="AQ65" s="158"/>
      <c r="AR65" s="159"/>
      <c r="AS65" s="27"/>
      <c r="AT65" s="67"/>
      <c r="AU65" s="33"/>
    </row>
    <row r="66" spans="1:47" x14ac:dyDescent="0.25">
      <c r="A66" s="4"/>
      <c r="B66" s="128"/>
      <c r="C66" s="127"/>
      <c r="D66" s="111"/>
      <c r="E66" s="22"/>
      <c r="F66" s="67"/>
      <c r="G66" s="136"/>
      <c r="H66" s="161"/>
      <c r="I66" s="150"/>
      <c r="J66" s="22"/>
      <c r="K66" s="67"/>
      <c r="L66" s="136"/>
      <c r="M66" s="161"/>
      <c r="N66" s="150"/>
      <c r="O66" s="22"/>
      <c r="P66" s="67"/>
      <c r="Q66" s="175"/>
      <c r="R66" s="123"/>
      <c r="S66" s="124"/>
      <c r="T66" s="27"/>
      <c r="U66" s="67"/>
      <c r="V66" s="79"/>
      <c r="W66" s="59"/>
      <c r="X66" s="40"/>
      <c r="Y66" s="27"/>
      <c r="Z66" s="48"/>
      <c r="AA66" s="192"/>
      <c r="AB66" s="195"/>
      <c r="AC66" s="196"/>
      <c r="AD66" s="27"/>
      <c r="AE66" s="67"/>
      <c r="AF66" s="175"/>
      <c r="AG66" s="123"/>
      <c r="AH66" s="124"/>
      <c r="AI66" s="27"/>
      <c r="AJ66" s="67"/>
      <c r="AK66" s="207"/>
      <c r="AL66" s="194"/>
      <c r="AM66" s="196"/>
      <c r="AN66" s="27"/>
      <c r="AO66" s="67"/>
      <c r="AP66" s="207"/>
      <c r="AQ66" s="158"/>
      <c r="AR66" s="159"/>
      <c r="AS66" s="27"/>
      <c r="AT66" s="67"/>
      <c r="AU66" s="33"/>
    </row>
    <row r="67" spans="1:47" x14ac:dyDescent="0.25">
      <c r="A67" s="4" t="s">
        <v>27</v>
      </c>
      <c r="B67" s="125">
        <f>SUM(D69:D72)</f>
        <v>-21485</v>
      </c>
      <c r="C67" s="110"/>
      <c r="D67" s="111"/>
      <c r="E67" s="22"/>
      <c r="F67" s="67"/>
      <c r="G67" s="112">
        <f>SUM(I69:I72)</f>
        <v>-18345</v>
      </c>
      <c r="H67" s="115"/>
      <c r="I67" s="150"/>
      <c r="J67" s="22"/>
      <c r="K67" s="67"/>
      <c r="L67" s="112">
        <f>SUM(N69:N72)</f>
        <v>-22190</v>
      </c>
      <c r="M67" s="115"/>
      <c r="N67" s="150"/>
      <c r="O67" s="22"/>
      <c r="P67" s="67"/>
      <c r="Q67" s="175">
        <f>SUM(S69:S70)</f>
        <v>-11251</v>
      </c>
      <c r="R67" s="123"/>
      <c r="S67" s="124"/>
      <c r="T67" s="27"/>
      <c r="U67" s="67"/>
      <c r="V67" s="79">
        <f t="shared" si="10"/>
        <v>-13189.547299999998</v>
      </c>
      <c r="W67" s="59"/>
      <c r="X67" s="40"/>
      <c r="Y67" s="27"/>
      <c r="Z67" s="48"/>
      <c r="AA67" s="192">
        <f>Q67*1.1525</f>
        <v>-12966.7775</v>
      </c>
      <c r="AB67" s="195"/>
      <c r="AC67" s="196"/>
      <c r="AD67" s="27"/>
      <c r="AE67" s="67"/>
      <c r="AF67" s="175">
        <f>SUM(AH69:AH70)</f>
        <v>-12440</v>
      </c>
      <c r="AG67" s="123"/>
      <c r="AH67" s="124"/>
      <c r="AI67" s="27"/>
      <c r="AJ67" s="67"/>
      <c r="AK67" s="207">
        <f>AF67*0.791/0.681</f>
        <v>-14449.397944199707</v>
      </c>
      <c r="AL67" s="194"/>
      <c r="AM67" s="196"/>
      <c r="AN67" s="27"/>
      <c r="AO67" s="67"/>
      <c r="AP67" s="207">
        <f>AF67*1.23305</f>
        <v>-15339.142</v>
      </c>
      <c r="AQ67" s="158"/>
      <c r="AR67" s="159"/>
      <c r="AS67" s="27"/>
      <c r="AT67" s="67"/>
      <c r="AU67" s="33"/>
    </row>
    <row r="68" spans="1:47" x14ac:dyDescent="0.25">
      <c r="B68" s="130"/>
      <c r="C68" s="110"/>
      <c r="D68" s="111"/>
      <c r="E68" s="22"/>
      <c r="F68" s="67"/>
      <c r="G68" s="163"/>
      <c r="H68" s="115"/>
      <c r="I68" s="150"/>
      <c r="J68" s="22"/>
      <c r="K68" s="67"/>
      <c r="L68" s="163"/>
      <c r="M68" s="115"/>
      <c r="N68" s="150"/>
      <c r="O68" s="22"/>
      <c r="P68" s="67"/>
      <c r="Q68" s="175"/>
      <c r="R68" s="123"/>
      <c r="S68" s="124"/>
      <c r="T68" s="27"/>
      <c r="U68" s="67"/>
      <c r="V68" s="79"/>
      <c r="W68" s="59"/>
      <c r="X68" s="40"/>
      <c r="Y68" s="27"/>
      <c r="Z68" s="48"/>
      <c r="AA68" s="192"/>
      <c r="AB68" s="195"/>
      <c r="AC68" s="196"/>
      <c r="AD68" s="27"/>
      <c r="AE68" s="67"/>
      <c r="AF68" s="175"/>
      <c r="AG68" s="123"/>
      <c r="AH68" s="124"/>
      <c r="AI68" s="27"/>
      <c r="AJ68" s="67"/>
      <c r="AK68" s="207"/>
      <c r="AL68" s="194"/>
      <c r="AM68" s="196"/>
      <c r="AN68" s="27"/>
      <c r="AO68" s="67"/>
      <c r="AP68" s="207"/>
      <c r="AQ68" s="158"/>
      <c r="AR68" s="159"/>
      <c r="AS68" s="27"/>
      <c r="AT68" s="67"/>
      <c r="AU68" s="33"/>
    </row>
    <row r="69" spans="1:47" x14ac:dyDescent="0.25">
      <c r="A69" s="2" t="s">
        <v>148</v>
      </c>
      <c r="B69" s="130"/>
      <c r="C69" s="122"/>
      <c r="D69" s="111">
        <v>-113</v>
      </c>
      <c r="E69" s="13" t="s">
        <v>149</v>
      </c>
      <c r="F69" s="67"/>
      <c r="G69" s="163"/>
      <c r="H69" s="122"/>
      <c r="I69" s="150">
        <v>-57</v>
      </c>
      <c r="J69" s="13" t="s">
        <v>149</v>
      </c>
      <c r="K69" s="67"/>
      <c r="L69" s="163"/>
      <c r="M69" s="122"/>
      <c r="N69" s="150">
        <v>-40</v>
      </c>
      <c r="O69" s="13" t="s">
        <v>149</v>
      </c>
      <c r="P69" s="67"/>
      <c r="Q69" s="175"/>
      <c r="S69" s="124">
        <v>-10093</v>
      </c>
      <c r="T69" s="27" t="s">
        <v>157</v>
      </c>
      <c r="U69" s="67"/>
      <c r="V69" s="79"/>
      <c r="X69" s="40">
        <f>S69*1.1723</f>
        <v>-11832.023899999998</v>
      </c>
      <c r="Y69" s="27" t="s">
        <v>157</v>
      </c>
      <c r="Z69" s="48"/>
      <c r="AA69" s="192"/>
      <c r="AC69" s="196">
        <f>S69*1.1525</f>
        <v>-11632.182500000001</v>
      </c>
      <c r="AD69" s="27" t="s">
        <v>157</v>
      </c>
      <c r="AE69" s="67"/>
      <c r="AF69" s="175"/>
      <c r="AH69" s="124">
        <v>-9905</v>
      </c>
      <c r="AI69" s="27" t="s">
        <v>157</v>
      </c>
      <c r="AJ69" s="67"/>
      <c r="AK69" s="207"/>
      <c r="AM69" s="196">
        <f>AH69*0.791/0.681</f>
        <v>-11504.92657856094</v>
      </c>
      <c r="AN69" s="27" t="s">
        <v>157</v>
      </c>
      <c r="AO69" s="67"/>
      <c r="AP69" s="207"/>
      <c r="AR69" s="159">
        <f>AH69*1.23305</f>
        <v>-12213.36025</v>
      </c>
      <c r="AS69" s="27" t="s">
        <v>157</v>
      </c>
      <c r="AT69" s="67"/>
      <c r="AU69" s="33"/>
    </row>
    <row r="70" spans="1:47" x14ac:dyDescent="0.25">
      <c r="A70" s="2" t="s">
        <v>26</v>
      </c>
      <c r="B70" s="130"/>
      <c r="C70" s="122"/>
      <c r="D70" s="111">
        <f>-(2953+1494+128+5217+551+148)</f>
        <v>-10491</v>
      </c>
      <c r="E70" s="27" t="s">
        <v>223</v>
      </c>
      <c r="F70" s="67" t="s">
        <v>211</v>
      </c>
      <c r="G70" s="163"/>
      <c r="H70" s="122"/>
      <c r="I70" s="150">
        <f>-453-1415-176-7093-989</f>
        <v>-10126</v>
      </c>
      <c r="J70" s="27" t="s">
        <v>224</v>
      </c>
      <c r="K70" s="67" t="s">
        <v>211</v>
      </c>
      <c r="L70" s="163"/>
      <c r="M70" s="122"/>
      <c r="N70" s="150">
        <f>-(4000+1200+6034+1646)</f>
        <v>-12880</v>
      </c>
      <c r="O70" s="27" t="s">
        <v>230</v>
      </c>
      <c r="P70" s="67" t="s">
        <v>231</v>
      </c>
      <c r="Q70" s="175"/>
      <c r="S70" s="124">
        <v>-1158</v>
      </c>
      <c r="T70" s="27" t="s">
        <v>157</v>
      </c>
      <c r="U70" s="67"/>
      <c r="V70" s="79"/>
      <c r="X70" s="40">
        <f>S70*1.1723</f>
        <v>-1357.5233999999998</v>
      </c>
      <c r="Y70" s="27" t="s">
        <v>157</v>
      </c>
      <c r="Z70" s="48"/>
      <c r="AA70" s="192"/>
      <c r="AC70" s="196">
        <f>S70*1.1525</f>
        <v>-1334.595</v>
      </c>
      <c r="AD70" s="27" t="s">
        <v>157</v>
      </c>
      <c r="AE70" s="67"/>
      <c r="AF70" s="175"/>
      <c r="AH70" s="124">
        <f>-1128-1380-18-7-2</f>
        <v>-2535</v>
      </c>
      <c r="AI70" s="27" t="s">
        <v>157</v>
      </c>
      <c r="AJ70" s="67"/>
      <c r="AK70" s="207"/>
      <c r="AM70" s="196">
        <f>AH70*0.791/0.681</f>
        <v>-2944.4713656387667</v>
      </c>
      <c r="AN70" s="27" t="s">
        <v>157</v>
      </c>
      <c r="AO70" s="67"/>
      <c r="AP70" s="207"/>
      <c r="AR70" s="159">
        <f>AH70*1.23305</f>
        <v>-3125.7817500000001</v>
      </c>
      <c r="AS70" s="27" t="s">
        <v>157</v>
      </c>
      <c r="AT70" s="67"/>
      <c r="AU70" s="33"/>
    </row>
    <row r="71" spans="1:47" x14ac:dyDescent="0.25">
      <c r="A71" s="2" t="s">
        <v>159</v>
      </c>
      <c r="B71" s="131"/>
      <c r="C71" s="122"/>
      <c r="D71" s="132">
        <v>-10459</v>
      </c>
      <c r="E71" s="24" t="s">
        <v>163</v>
      </c>
      <c r="F71" s="91"/>
      <c r="G71" s="164"/>
      <c r="H71" s="122"/>
      <c r="I71" s="155">
        <v>-7437</v>
      </c>
      <c r="J71" s="24" t="s">
        <v>163</v>
      </c>
      <c r="K71" s="91"/>
      <c r="L71" s="164"/>
      <c r="M71" s="122"/>
      <c r="N71" s="155">
        <v>-8880</v>
      </c>
      <c r="O71" s="24" t="s">
        <v>163</v>
      </c>
      <c r="P71" s="91"/>
      <c r="Q71" s="175"/>
      <c r="S71" s="124">
        <v>-5300</v>
      </c>
      <c r="T71" s="27" t="s">
        <v>61</v>
      </c>
      <c r="U71" s="67" t="s">
        <v>237</v>
      </c>
      <c r="V71" s="79"/>
      <c r="X71" s="40">
        <f>S71*1.1723</f>
        <v>-6213.19</v>
      </c>
      <c r="Y71" s="27" t="s">
        <v>61</v>
      </c>
      <c r="Z71" s="48"/>
      <c r="AA71" s="192"/>
      <c r="AC71" s="196">
        <f>S71*1.1525</f>
        <v>-6108.25</v>
      </c>
      <c r="AD71" s="27" t="s">
        <v>61</v>
      </c>
      <c r="AE71" s="67"/>
      <c r="AF71" s="175"/>
      <c r="AH71" s="124">
        <v>-6100</v>
      </c>
      <c r="AI71" s="27" t="s">
        <v>61</v>
      </c>
      <c r="AJ71" s="67"/>
      <c r="AK71" s="207"/>
      <c r="AM71" s="196">
        <f>AH71*0.791/0.681</f>
        <v>-7085.3157121879585</v>
      </c>
      <c r="AN71" s="27" t="s">
        <v>61</v>
      </c>
      <c r="AO71" s="67"/>
      <c r="AP71" s="207"/>
      <c r="AR71" s="159">
        <f>AH71*1.23305</f>
        <v>-7521.6049999999996</v>
      </c>
      <c r="AS71" s="27" t="s">
        <v>61</v>
      </c>
      <c r="AT71" s="67"/>
      <c r="AU71" s="33"/>
    </row>
    <row r="72" spans="1:47" x14ac:dyDescent="0.25">
      <c r="A72" s="2" t="s">
        <v>225</v>
      </c>
      <c r="B72" s="133"/>
      <c r="C72" s="122"/>
      <c r="D72" s="132">
        <v>-422</v>
      </c>
      <c r="E72" s="34" t="s">
        <v>226</v>
      </c>
      <c r="F72" s="67"/>
      <c r="G72" s="165"/>
      <c r="H72" s="122"/>
      <c r="I72" s="155">
        <v>-725</v>
      </c>
      <c r="J72" s="34" t="s">
        <v>226</v>
      </c>
      <c r="K72" s="67"/>
      <c r="L72" s="165"/>
      <c r="M72" s="122"/>
      <c r="N72" s="155">
        <v>-390</v>
      </c>
      <c r="O72" s="34" t="s">
        <v>226</v>
      </c>
      <c r="P72" s="67"/>
      <c r="Q72" s="116"/>
      <c r="S72" s="111">
        <v>-2079</v>
      </c>
      <c r="T72" s="34" t="s">
        <v>194</v>
      </c>
      <c r="U72" s="67" t="s">
        <v>195</v>
      </c>
      <c r="V72" s="103"/>
      <c r="X72" s="40">
        <f>S72*1.1723</f>
        <v>-2437.2116999999998</v>
      </c>
      <c r="Y72" s="34" t="s">
        <v>194</v>
      </c>
      <c r="Z72" s="48"/>
      <c r="AA72" s="150"/>
      <c r="AC72" s="196">
        <f>S72*1.1525</f>
        <v>-2396.0475000000001</v>
      </c>
      <c r="AD72" s="34" t="s">
        <v>194</v>
      </c>
      <c r="AE72" s="67" t="s">
        <v>195</v>
      </c>
      <c r="AF72" s="116"/>
      <c r="AH72" s="111">
        <v>-2730</v>
      </c>
      <c r="AI72" s="34" t="s">
        <v>194</v>
      </c>
      <c r="AJ72" s="67" t="s">
        <v>195</v>
      </c>
      <c r="AK72" s="153"/>
      <c r="AM72" s="196">
        <f>AH72*0.791/0.681</f>
        <v>-3170.9691629955951</v>
      </c>
      <c r="AN72" s="34" t="s">
        <v>194</v>
      </c>
      <c r="AO72" s="67" t="s">
        <v>195</v>
      </c>
      <c r="AP72" s="191"/>
      <c r="AR72" s="159">
        <f>AH72*1.23305</f>
        <v>-3366.2264999999998</v>
      </c>
      <c r="AS72" s="34" t="s">
        <v>194</v>
      </c>
      <c r="AT72" s="67" t="s">
        <v>195</v>
      </c>
      <c r="AU72" s="33"/>
    </row>
    <row r="73" spans="1:47" x14ac:dyDescent="0.25">
      <c r="A73" s="1"/>
      <c r="B73" s="133"/>
      <c r="C73" s="134"/>
      <c r="D73" s="132"/>
      <c r="E73" s="34"/>
      <c r="F73" s="67"/>
      <c r="G73" s="165"/>
      <c r="H73" s="166"/>
      <c r="I73" s="155"/>
      <c r="J73" s="34"/>
      <c r="K73" s="67"/>
      <c r="L73" s="165"/>
      <c r="M73" s="166"/>
      <c r="N73" s="155"/>
      <c r="O73" s="34"/>
      <c r="P73" s="67"/>
      <c r="Q73" s="116"/>
      <c r="R73" s="110"/>
      <c r="S73" s="111"/>
      <c r="T73" s="34"/>
      <c r="U73" s="67"/>
      <c r="V73" s="103"/>
      <c r="W73" s="40"/>
      <c r="X73" s="40"/>
      <c r="Y73" s="49"/>
      <c r="Z73" s="48"/>
      <c r="AA73" s="150"/>
      <c r="AB73" s="190"/>
      <c r="AC73" s="190"/>
      <c r="AD73" s="27"/>
      <c r="AE73" s="67"/>
      <c r="AF73" s="116"/>
      <c r="AG73" s="110"/>
      <c r="AH73" s="111"/>
      <c r="AI73" s="34"/>
      <c r="AJ73" s="67"/>
      <c r="AK73" s="153"/>
      <c r="AL73" s="189"/>
      <c r="AM73" s="190"/>
      <c r="AN73" s="34"/>
      <c r="AO73" s="67"/>
      <c r="AP73" s="191"/>
      <c r="AQ73" s="115"/>
      <c r="AR73" s="150"/>
      <c r="AS73" s="34"/>
      <c r="AT73" s="67"/>
      <c r="AU73" s="33"/>
    </row>
    <row r="74" spans="1:47" x14ac:dyDescent="0.25">
      <c r="A74" s="2"/>
      <c r="B74" s="133"/>
      <c r="C74" s="135"/>
      <c r="D74" s="132"/>
      <c r="E74" s="34"/>
      <c r="F74" s="67"/>
      <c r="G74" s="165"/>
      <c r="H74" s="167"/>
      <c r="I74" s="155"/>
      <c r="J74" s="34"/>
      <c r="K74" s="67"/>
      <c r="L74" s="165"/>
      <c r="M74" s="167"/>
      <c r="N74" s="155"/>
      <c r="O74" s="34"/>
      <c r="P74" s="67"/>
      <c r="Q74" s="116"/>
      <c r="R74" s="176"/>
      <c r="S74" s="111"/>
      <c r="T74" s="34"/>
      <c r="U74" s="67"/>
      <c r="V74" s="103"/>
      <c r="W74" s="40"/>
      <c r="X74" s="40"/>
      <c r="Y74" s="49"/>
      <c r="Z74" s="48"/>
      <c r="AA74" s="150"/>
      <c r="AB74" s="190"/>
      <c r="AC74" s="190"/>
      <c r="AD74" s="27"/>
      <c r="AE74" s="67"/>
      <c r="AF74" s="116"/>
      <c r="AG74" s="176"/>
      <c r="AH74" s="111"/>
      <c r="AI74" s="34"/>
      <c r="AJ74" s="67"/>
      <c r="AK74" s="153"/>
      <c r="AL74" s="213"/>
      <c r="AM74" s="190"/>
      <c r="AN74" s="34"/>
      <c r="AO74" s="67"/>
      <c r="AP74" s="191"/>
      <c r="AQ74" s="208"/>
      <c r="AR74" s="150"/>
      <c r="AS74" s="34"/>
      <c r="AT74" s="67"/>
      <c r="AU74" s="33"/>
    </row>
    <row r="75" spans="1:47" x14ac:dyDescent="0.25">
      <c r="A75" s="29" t="s">
        <v>256</v>
      </c>
      <c r="B75" s="136">
        <f>SUM(B7:B67)</f>
        <v>1118297</v>
      </c>
      <c r="C75" s="127"/>
      <c r="D75" s="120"/>
      <c r="E75" s="17"/>
      <c r="F75" s="92"/>
      <c r="G75" s="136">
        <f>SUM(G5:G70)</f>
        <v>1035504.9592488147</v>
      </c>
      <c r="H75" s="161"/>
      <c r="I75" s="118"/>
      <c r="J75" s="17"/>
      <c r="K75" s="92"/>
      <c r="L75" s="136">
        <f>SUM(L5:L70)</f>
        <v>1153762</v>
      </c>
      <c r="M75" s="161"/>
      <c r="N75" s="118"/>
      <c r="O75" s="17"/>
      <c r="P75" s="92"/>
      <c r="Q75" s="128">
        <f>SUM(Q5:Q70)</f>
        <v>375583</v>
      </c>
      <c r="R75" s="177"/>
      <c r="S75" s="178"/>
      <c r="T75" s="50"/>
      <c r="U75" s="92"/>
      <c r="V75" s="81">
        <f>SUM(V5:V70)</f>
        <v>440295.95089999994</v>
      </c>
      <c r="W75" s="183"/>
      <c r="X75" s="184"/>
      <c r="Y75" s="50"/>
      <c r="Z75" s="97"/>
      <c r="AA75" s="198">
        <f>Q75*1.1525</f>
        <v>432859.40750000003</v>
      </c>
      <c r="AB75" s="199"/>
      <c r="AC75" s="200"/>
      <c r="AD75" s="50"/>
      <c r="AE75" s="92"/>
      <c r="AF75" s="128">
        <f>SUM(AF5:AF70)</f>
        <v>390896</v>
      </c>
      <c r="AG75" s="177"/>
      <c r="AH75" s="178"/>
      <c r="AI75" s="50"/>
      <c r="AJ75" s="92"/>
      <c r="AK75" s="207">
        <f>AF75*0.791/0.681</f>
        <v>454036.32305433188</v>
      </c>
      <c r="AL75" s="214"/>
      <c r="AM75" s="200"/>
      <c r="AN75" s="50"/>
      <c r="AO75" s="92"/>
      <c r="AP75" s="207">
        <f t="shared" ref="AP75:AP76" si="11">AF75*1.23305</f>
        <v>481994.31280000001</v>
      </c>
      <c r="AQ75" s="209"/>
      <c r="AR75" s="210"/>
      <c r="AS75" s="50"/>
      <c r="AT75" s="92"/>
      <c r="AU75" s="33"/>
    </row>
    <row r="76" spans="1:47" ht="15.75" thickBot="1" x14ac:dyDescent="0.3">
      <c r="A76" s="43" t="s">
        <v>257</v>
      </c>
      <c r="B76" s="137">
        <f>B75-B64</f>
        <v>973896</v>
      </c>
      <c r="C76" s="138"/>
      <c r="D76" s="139"/>
      <c r="E76" s="51"/>
      <c r="F76" s="93"/>
      <c r="G76" s="137">
        <f>G75-G64</f>
        <v>966603.95924881473</v>
      </c>
      <c r="H76" s="138"/>
      <c r="I76" s="139"/>
      <c r="J76" s="51"/>
      <c r="K76" s="93"/>
      <c r="L76" s="137">
        <f>L75-L64</f>
        <v>1083730</v>
      </c>
      <c r="M76" s="138"/>
      <c r="N76" s="139"/>
      <c r="O76" s="51"/>
      <c r="P76" s="93"/>
      <c r="Q76" s="137">
        <f>Q75-Q64</f>
        <v>368983</v>
      </c>
      <c r="R76" s="179"/>
      <c r="S76" s="180"/>
      <c r="T76" s="53"/>
      <c r="U76" s="52"/>
      <c r="V76" s="82">
        <f>V75-V64</f>
        <v>432558.77089999994</v>
      </c>
      <c r="W76" s="185"/>
      <c r="X76" s="186"/>
      <c r="Y76" s="53"/>
      <c r="Z76" s="217"/>
      <c r="AA76" s="137">
        <f>AA75-AA64</f>
        <v>425252.90750000003</v>
      </c>
      <c r="AB76" s="201"/>
      <c r="AC76" s="202"/>
      <c r="AD76" s="44"/>
      <c r="AE76" s="218"/>
      <c r="AF76" s="137">
        <f>AF75-AF64</f>
        <v>383960</v>
      </c>
      <c r="AG76" s="179"/>
      <c r="AH76" s="180"/>
      <c r="AI76" s="53"/>
      <c r="AJ76" s="52"/>
      <c r="AK76" s="207">
        <f>AF76*0.791/0.681</f>
        <v>445979.97063142434</v>
      </c>
      <c r="AL76" s="215"/>
      <c r="AM76" s="202"/>
      <c r="AN76" s="53"/>
      <c r="AO76" s="52"/>
      <c r="AP76" s="207">
        <f t="shared" si="11"/>
        <v>473441.87799999997</v>
      </c>
      <c r="AQ76" s="179"/>
      <c r="AR76" s="211"/>
      <c r="AS76" s="53"/>
      <c r="AT76" s="52"/>
      <c r="AU76" s="33"/>
    </row>
    <row r="77" spans="1:47" ht="15.75" thickTop="1" x14ac:dyDescent="0.25">
      <c r="A77" s="1"/>
      <c r="B77" s="131"/>
      <c r="C77" s="134"/>
      <c r="D77" s="132"/>
      <c r="E77" s="24"/>
      <c r="F77" s="91"/>
      <c r="G77" s="131"/>
      <c r="H77" s="134"/>
      <c r="I77" s="132"/>
      <c r="J77" s="24"/>
      <c r="K77" s="91"/>
      <c r="L77" s="131"/>
      <c r="M77" s="134"/>
      <c r="N77" s="132"/>
      <c r="O77" s="24"/>
      <c r="P77" s="91"/>
      <c r="Q77" s="175"/>
      <c r="R77" s="123"/>
      <c r="S77" s="124"/>
      <c r="T77" s="27"/>
      <c r="U77" s="67"/>
      <c r="V77" s="79"/>
      <c r="W77" s="59"/>
      <c r="X77" s="40"/>
      <c r="Y77" s="27"/>
      <c r="Z77" s="48"/>
      <c r="AA77" s="192"/>
      <c r="AB77" s="195"/>
      <c r="AC77" s="196"/>
      <c r="AD77" s="27"/>
      <c r="AE77" s="67"/>
      <c r="AF77" s="175"/>
      <c r="AG77" s="123"/>
      <c r="AH77" s="124"/>
      <c r="AI77" s="27"/>
      <c r="AJ77" s="67"/>
      <c r="AK77" s="207"/>
      <c r="AL77" s="194"/>
      <c r="AM77" s="196"/>
      <c r="AN77" s="27"/>
      <c r="AO77" s="67"/>
      <c r="AP77" s="207"/>
      <c r="AQ77" s="158"/>
      <c r="AR77" s="159"/>
      <c r="AS77" s="27"/>
      <c r="AT77" s="67"/>
      <c r="AU77" s="33"/>
    </row>
    <row r="78" spans="1:47" x14ac:dyDescent="0.25">
      <c r="B78" s="130"/>
      <c r="C78" s="110"/>
      <c r="D78" s="111"/>
      <c r="E78" s="22"/>
      <c r="F78" s="67"/>
      <c r="G78" s="130"/>
      <c r="H78" s="110"/>
      <c r="I78" s="111"/>
      <c r="J78" s="22"/>
      <c r="K78" s="67"/>
      <c r="L78" s="130"/>
      <c r="M78" s="110"/>
      <c r="N78" s="111"/>
      <c r="O78" s="22"/>
      <c r="P78" s="67"/>
      <c r="Q78" s="175"/>
      <c r="R78" s="123"/>
      <c r="S78" s="124"/>
      <c r="T78" s="27"/>
      <c r="U78" s="67"/>
      <c r="V78" s="79"/>
      <c r="W78" s="59"/>
      <c r="X78" s="40"/>
      <c r="Y78" s="27"/>
      <c r="Z78" s="48"/>
      <c r="AA78" s="192"/>
      <c r="AB78" s="195"/>
      <c r="AC78" s="196"/>
      <c r="AD78" s="27"/>
      <c r="AE78" s="67"/>
      <c r="AF78" s="175"/>
      <c r="AG78" s="123"/>
      <c r="AH78" s="124"/>
      <c r="AI78" s="27"/>
      <c r="AJ78" s="67"/>
      <c r="AK78" s="207"/>
      <c r="AL78" s="194"/>
      <c r="AM78" s="196"/>
      <c r="AN78" s="27"/>
      <c r="AO78" s="67"/>
      <c r="AP78" s="207"/>
      <c r="AQ78" s="158"/>
      <c r="AR78" s="159"/>
      <c r="AS78" s="27"/>
      <c r="AT78" s="67"/>
      <c r="AU78" s="33"/>
    </row>
    <row r="79" spans="1:47" x14ac:dyDescent="0.25">
      <c r="A79" s="4" t="s">
        <v>136</v>
      </c>
      <c r="B79" s="128">
        <v>36758</v>
      </c>
      <c r="C79" s="127"/>
      <c r="D79" s="111"/>
      <c r="E79" s="22" t="s">
        <v>110</v>
      </c>
      <c r="F79" s="67"/>
      <c r="G79" s="128">
        <v>36790</v>
      </c>
      <c r="H79" s="127"/>
      <c r="I79" s="111"/>
      <c r="J79" s="22" t="s">
        <v>110</v>
      </c>
      <c r="K79" s="67"/>
      <c r="L79" s="128">
        <v>35927</v>
      </c>
      <c r="M79" s="127"/>
      <c r="N79" s="111"/>
      <c r="O79" s="22" t="s">
        <v>110</v>
      </c>
      <c r="P79" s="67"/>
      <c r="Q79" s="175"/>
      <c r="R79" s="123"/>
      <c r="S79" s="124"/>
      <c r="T79" s="27"/>
      <c r="U79" s="67"/>
      <c r="V79" s="79"/>
      <c r="W79" s="59"/>
      <c r="X79" s="40"/>
      <c r="Y79" s="27"/>
      <c r="Z79" s="48"/>
      <c r="AA79" s="192"/>
      <c r="AB79" s="195"/>
      <c r="AC79" s="196"/>
      <c r="AD79" s="27"/>
      <c r="AE79" s="67"/>
      <c r="AF79" s="175"/>
      <c r="AG79" s="123"/>
      <c r="AH79" s="124"/>
      <c r="AI79" s="27"/>
      <c r="AJ79" s="67"/>
      <c r="AK79" s="207"/>
      <c r="AL79" s="194"/>
      <c r="AM79" s="196"/>
      <c r="AN79" s="27"/>
      <c r="AO79" s="67"/>
      <c r="AP79" s="207"/>
      <c r="AQ79" s="158"/>
      <c r="AR79" s="159"/>
      <c r="AS79" s="27"/>
      <c r="AT79" s="67"/>
      <c r="AU79" s="33"/>
    </row>
    <row r="80" spans="1:47" x14ac:dyDescent="0.25">
      <c r="B80" s="130"/>
      <c r="C80" s="110"/>
      <c r="D80" s="111"/>
      <c r="E80" s="22"/>
      <c r="F80" s="67"/>
      <c r="G80" s="130"/>
      <c r="H80" s="110"/>
      <c r="I80" s="111"/>
      <c r="J80" s="22"/>
      <c r="K80" s="67"/>
      <c r="L80" s="130"/>
      <c r="M80" s="110"/>
      <c r="N80" s="111"/>
      <c r="O80" s="22"/>
      <c r="P80" s="67"/>
      <c r="Q80" s="175"/>
      <c r="R80" s="123"/>
      <c r="S80" s="124"/>
      <c r="T80" s="27"/>
      <c r="U80" s="67"/>
      <c r="V80" s="79"/>
      <c r="W80" s="59"/>
      <c r="X80" s="40"/>
      <c r="Y80" s="27"/>
      <c r="Z80" s="48"/>
      <c r="AA80" s="192"/>
      <c r="AB80" s="195"/>
      <c r="AC80" s="196"/>
      <c r="AD80" s="27"/>
      <c r="AE80" s="67"/>
      <c r="AF80" s="175"/>
      <c r="AG80" s="123"/>
      <c r="AH80" s="124"/>
      <c r="AI80" s="27"/>
      <c r="AJ80" s="67"/>
      <c r="AK80" s="207"/>
      <c r="AL80" s="194"/>
      <c r="AM80" s="196"/>
      <c r="AN80" s="27"/>
      <c r="AO80" s="67"/>
      <c r="AP80" s="207"/>
      <c r="AQ80" s="158"/>
      <c r="AR80" s="159"/>
      <c r="AS80" s="27"/>
      <c r="AT80" s="67"/>
      <c r="AU80" s="33"/>
    </row>
    <row r="81" spans="1:47" x14ac:dyDescent="0.25">
      <c r="B81" s="130"/>
      <c r="C81" s="110"/>
      <c r="D81" s="111"/>
      <c r="E81" s="22"/>
      <c r="F81" s="67"/>
      <c r="G81" s="130"/>
      <c r="H81" s="110"/>
      <c r="I81" s="111"/>
      <c r="J81" s="22"/>
      <c r="K81" s="67"/>
      <c r="L81" s="130"/>
      <c r="M81" s="110"/>
      <c r="N81" s="111"/>
      <c r="O81" s="22"/>
      <c r="P81" s="67"/>
      <c r="Q81" s="175"/>
      <c r="R81" s="123"/>
      <c r="S81" s="124"/>
      <c r="T81" s="27"/>
      <c r="U81" s="67"/>
      <c r="V81" s="79"/>
      <c r="W81" s="59"/>
      <c r="X81" s="40"/>
      <c r="Y81" s="27"/>
      <c r="Z81" s="48"/>
      <c r="AA81" s="192"/>
      <c r="AB81" s="195"/>
      <c r="AC81" s="196"/>
      <c r="AD81" s="27"/>
      <c r="AE81" s="67"/>
      <c r="AF81" s="175"/>
      <c r="AG81" s="123"/>
      <c r="AH81" s="124"/>
      <c r="AI81" s="27"/>
      <c r="AJ81" s="67"/>
      <c r="AK81" s="207"/>
      <c r="AL81" s="194"/>
      <c r="AM81" s="196"/>
      <c r="AN81" s="27"/>
      <c r="AO81" s="67"/>
      <c r="AP81" s="207"/>
      <c r="AQ81" s="158"/>
      <c r="AR81" s="159"/>
      <c r="AS81" s="27"/>
      <c r="AT81" s="67"/>
      <c r="AU81" s="33"/>
    </row>
    <row r="82" spans="1:47" x14ac:dyDescent="0.25">
      <c r="A82" s="30" t="s">
        <v>53</v>
      </c>
      <c r="B82" s="125">
        <f>SUM(C84:C90)</f>
        <v>268117</v>
      </c>
      <c r="C82" s="110"/>
      <c r="D82" s="111"/>
      <c r="E82" s="22"/>
      <c r="F82" s="67"/>
      <c r="G82" s="125">
        <f>SUM(H84:H90)</f>
        <v>268569</v>
      </c>
      <c r="H82" s="110"/>
      <c r="I82" s="111"/>
      <c r="J82" s="22"/>
      <c r="K82" s="67"/>
      <c r="L82" s="125">
        <f>SUM(M84:M90)</f>
        <v>259695</v>
      </c>
      <c r="M82" s="110"/>
      <c r="N82" s="111"/>
      <c r="O82" s="22"/>
      <c r="P82" s="67"/>
      <c r="Q82" s="175"/>
      <c r="R82" s="123"/>
      <c r="S82" s="124"/>
      <c r="T82" s="27"/>
      <c r="U82" s="67"/>
      <c r="V82" s="79"/>
      <c r="W82" s="59"/>
      <c r="X82" s="40"/>
      <c r="Y82" s="27"/>
      <c r="Z82" s="48"/>
      <c r="AA82" s="192"/>
      <c r="AB82" s="195"/>
      <c r="AC82" s="196"/>
      <c r="AD82" s="27"/>
      <c r="AE82" s="67"/>
      <c r="AF82" s="175"/>
      <c r="AG82" s="123"/>
      <c r="AH82" s="124"/>
      <c r="AI82" s="27"/>
      <c r="AJ82" s="67"/>
      <c r="AK82" s="207"/>
      <c r="AL82" s="194"/>
      <c r="AM82" s="196"/>
      <c r="AN82" s="27"/>
      <c r="AO82" s="67"/>
      <c r="AP82" s="207"/>
      <c r="AQ82" s="158"/>
      <c r="AR82" s="159"/>
      <c r="AS82" s="27"/>
      <c r="AT82" s="67"/>
      <c r="AU82" s="33"/>
    </row>
    <row r="83" spans="1:47" x14ac:dyDescent="0.25">
      <c r="A83" s="5"/>
      <c r="B83" s="121"/>
      <c r="C83" s="110"/>
      <c r="D83" s="111"/>
      <c r="E83" s="22"/>
      <c r="F83" s="67"/>
      <c r="G83" s="121"/>
      <c r="H83" s="110"/>
      <c r="I83" s="111"/>
      <c r="J83" s="22"/>
      <c r="K83" s="67"/>
      <c r="L83" s="121"/>
      <c r="M83" s="110"/>
      <c r="N83" s="111"/>
      <c r="O83" s="22"/>
      <c r="P83" s="67"/>
      <c r="Q83" s="121"/>
      <c r="R83" s="123"/>
      <c r="S83" s="124"/>
      <c r="T83" s="27"/>
      <c r="U83" s="67"/>
      <c r="V83" s="68"/>
      <c r="W83" s="39"/>
      <c r="X83" s="41"/>
      <c r="Y83" s="27"/>
      <c r="Z83" s="48"/>
      <c r="AA83" s="122"/>
      <c r="AB83" s="195"/>
      <c r="AC83" s="196"/>
      <c r="AD83" s="27"/>
      <c r="AE83" s="67"/>
      <c r="AF83" s="121"/>
      <c r="AG83" s="123"/>
      <c r="AH83" s="124"/>
      <c r="AI83" s="27"/>
      <c r="AJ83" s="67"/>
      <c r="AK83" s="156"/>
      <c r="AL83" s="194"/>
      <c r="AM83" s="196"/>
      <c r="AN83" s="27"/>
      <c r="AO83" s="67"/>
      <c r="AP83" s="206"/>
      <c r="AQ83" s="158"/>
      <c r="AR83" s="159"/>
      <c r="AS83" s="27"/>
      <c r="AT83" s="67"/>
      <c r="AU83" s="33"/>
    </row>
    <row r="84" spans="1:47" x14ac:dyDescent="0.25">
      <c r="A84" s="1" t="s">
        <v>161</v>
      </c>
      <c r="B84" s="130"/>
      <c r="C84" s="110">
        <f>SUM(D85:D88)</f>
        <v>36048</v>
      </c>
      <c r="D84" s="111"/>
      <c r="E84" s="22"/>
      <c r="F84" s="67"/>
      <c r="G84" s="130"/>
      <c r="H84" s="110">
        <f>SUM(I85:I88)</f>
        <v>35756</v>
      </c>
      <c r="I84" s="111"/>
      <c r="J84" s="22"/>
      <c r="K84" s="67"/>
      <c r="L84" s="130"/>
      <c r="M84" s="110">
        <f>SUM(N85:N88)</f>
        <v>31805</v>
      </c>
      <c r="N84" s="111"/>
      <c r="O84" s="22"/>
      <c r="P84" s="67"/>
      <c r="Q84" s="175"/>
      <c r="R84" s="123"/>
      <c r="S84" s="124"/>
      <c r="T84" s="27"/>
      <c r="U84" s="67"/>
      <c r="V84" s="80"/>
      <c r="W84" s="59"/>
      <c r="X84" s="41"/>
      <c r="Y84" s="27"/>
      <c r="Z84" s="48"/>
      <c r="AA84" s="192"/>
      <c r="AB84" s="195"/>
      <c r="AC84" s="196"/>
      <c r="AD84" s="27"/>
      <c r="AE84" s="67"/>
      <c r="AF84" s="175"/>
      <c r="AG84" s="123"/>
      <c r="AH84" s="124"/>
      <c r="AI84" s="27"/>
      <c r="AJ84" s="67"/>
      <c r="AK84" s="207"/>
      <c r="AL84" s="194"/>
      <c r="AM84" s="196"/>
      <c r="AN84" s="27"/>
      <c r="AO84" s="67"/>
      <c r="AP84" s="207"/>
      <c r="AQ84" s="158"/>
      <c r="AR84" s="159"/>
      <c r="AS84" s="27"/>
      <c r="AT84" s="67"/>
      <c r="AU84" s="33"/>
    </row>
    <row r="85" spans="1:47" x14ac:dyDescent="0.25">
      <c r="A85" s="20" t="s">
        <v>119</v>
      </c>
      <c r="B85" s="121"/>
      <c r="C85" s="140"/>
      <c r="D85" s="141">
        <f>10559+819</f>
        <v>11378</v>
      </c>
      <c r="E85" s="17" t="s">
        <v>118</v>
      </c>
      <c r="F85" s="67"/>
      <c r="G85" s="121"/>
      <c r="H85" s="140"/>
      <c r="I85" s="141">
        <f>10568+792</f>
        <v>11360</v>
      </c>
      <c r="J85" s="17" t="s">
        <v>118</v>
      </c>
      <c r="K85" s="67"/>
      <c r="L85" s="121"/>
      <c r="M85" s="140"/>
      <c r="N85" s="141">
        <f>10000</f>
        <v>10000</v>
      </c>
      <c r="O85" s="17" t="s">
        <v>118</v>
      </c>
      <c r="P85" s="67"/>
      <c r="Q85" s="175"/>
      <c r="R85" s="123"/>
      <c r="S85" s="124"/>
      <c r="T85" s="27"/>
      <c r="U85" s="27"/>
      <c r="V85" s="80"/>
      <c r="W85" s="39"/>
      <c r="X85" s="40"/>
      <c r="Y85" s="27"/>
      <c r="Z85" s="67"/>
      <c r="AA85" s="207"/>
      <c r="AB85" s="195"/>
      <c r="AC85" s="196"/>
      <c r="AD85" s="27"/>
      <c r="AE85" s="67"/>
      <c r="AF85" s="175"/>
      <c r="AG85" s="123"/>
      <c r="AH85" s="178"/>
      <c r="AI85" s="27"/>
      <c r="AJ85" s="67"/>
      <c r="AK85" s="207"/>
      <c r="AL85" s="194"/>
      <c r="AM85" s="200"/>
      <c r="AN85" s="27"/>
      <c r="AO85" s="67"/>
      <c r="AP85" s="207"/>
      <c r="AQ85" s="158"/>
      <c r="AR85" s="210"/>
      <c r="AS85" s="27"/>
      <c r="AT85" s="67"/>
      <c r="AU85" s="33"/>
    </row>
    <row r="86" spans="1:47" x14ac:dyDescent="0.25">
      <c r="A86" s="20" t="s">
        <v>121</v>
      </c>
      <c r="B86" s="121"/>
      <c r="C86" s="140"/>
      <c r="D86" s="141">
        <v>5761</v>
      </c>
      <c r="E86" s="17" t="s">
        <v>118</v>
      </c>
      <c r="F86" s="67"/>
      <c r="G86" s="121"/>
      <c r="H86" s="140"/>
      <c r="I86" s="141">
        <v>5639</v>
      </c>
      <c r="J86" s="17" t="s">
        <v>118</v>
      </c>
      <c r="K86" s="67"/>
      <c r="L86" s="121"/>
      <c r="M86" s="140"/>
      <c r="N86" s="141">
        <v>6800</v>
      </c>
      <c r="O86" s="17" t="s">
        <v>118</v>
      </c>
      <c r="P86" s="67"/>
      <c r="Q86" s="175"/>
      <c r="R86" s="123"/>
      <c r="S86" s="124"/>
      <c r="T86" s="27"/>
      <c r="U86" s="67"/>
      <c r="V86" s="79"/>
      <c r="W86" s="59"/>
      <c r="X86" s="40"/>
      <c r="Y86" s="27"/>
      <c r="Z86" s="67"/>
      <c r="AA86" s="207"/>
      <c r="AB86" s="195"/>
      <c r="AC86" s="196"/>
      <c r="AD86" s="27"/>
      <c r="AE86" s="67"/>
      <c r="AF86" s="175"/>
      <c r="AG86" s="123"/>
      <c r="AH86" s="124"/>
      <c r="AI86" s="27"/>
      <c r="AJ86" s="67"/>
      <c r="AK86" s="207"/>
      <c r="AL86" s="194"/>
      <c r="AM86" s="196"/>
      <c r="AN86" s="27"/>
      <c r="AO86" s="67"/>
      <c r="AP86" s="207"/>
      <c r="AQ86" s="158"/>
      <c r="AR86" s="159"/>
      <c r="AS86" s="27"/>
      <c r="AT86" s="67"/>
      <c r="AU86" s="33"/>
    </row>
    <row r="87" spans="1:47" x14ac:dyDescent="0.25">
      <c r="A87" s="20" t="s">
        <v>120</v>
      </c>
      <c r="B87" s="121"/>
      <c r="C87" s="140"/>
      <c r="D87" s="141">
        <f>12991+1338</f>
        <v>14329</v>
      </c>
      <c r="E87" s="17" t="s">
        <v>118</v>
      </c>
      <c r="F87" s="67"/>
      <c r="G87" s="121"/>
      <c r="H87" s="140"/>
      <c r="I87" s="141">
        <f>12604+1366</f>
        <v>13970</v>
      </c>
      <c r="J87" s="17" t="s">
        <v>118</v>
      </c>
      <c r="K87" s="67"/>
      <c r="L87" s="121"/>
      <c r="M87" s="140"/>
      <c r="N87" s="141">
        <f>8695+1310</f>
        <v>10005</v>
      </c>
      <c r="O87" s="17" t="s">
        <v>118</v>
      </c>
      <c r="P87" s="67"/>
      <c r="Q87" s="175"/>
      <c r="R87" s="123"/>
      <c r="S87" s="124"/>
      <c r="T87" s="27"/>
      <c r="U87" s="67"/>
      <c r="V87" s="79"/>
      <c r="W87" s="59"/>
      <c r="X87" s="40"/>
      <c r="Y87" s="27"/>
      <c r="Z87" s="67"/>
      <c r="AA87" s="207"/>
      <c r="AB87" s="195"/>
      <c r="AC87" s="196"/>
      <c r="AD87" s="27"/>
      <c r="AE87" s="67"/>
      <c r="AF87" s="175"/>
      <c r="AG87" s="123"/>
      <c r="AH87" s="124"/>
      <c r="AI87" s="27"/>
      <c r="AJ87" s="67"/>
      <c r="AK87" s="207"/>
      <c r="AL87" s="194"/>
      <c r="AM87" s="196"/>
      <c r="AN87" s="27"/>
      <c r="AO87" s="67"/>
      <c r="AP87" s="207"/>
      <c r="AQ87" s="158"/>
      <c r="AR87" s="159"/>
      <c r="AS87" s="27"/>
      <c r="AT87" s="67"/>
      <c r="AU87" s="33"/>
    </row>
    <row r="88" spans="1:47" x14ac:dyDescent="0.25">
      <c r="A88" s="20" t="s">
        <v>122</v>
      </c>
      <c r="B88" s="121"/>
      <c r="C88" s="140"/>
      <c r="D88" s="141">
        <v>4580</v>
      </c>
      <c r="E88" s="17" t="s">
        <v>118</v>
      </c>
      <c r="F88" s="67"/>
      <c r="G88" s="121"/>
      <c r="H88" s="140"/>
      <c r="I88" s="141">
        <v>4787</v>
      </c>
      <c r="J88" s="17" t="s">
        <v>118</v>
      </c>
      <c r="K88" s="67"/>
      <c r="L88" s="121"/>
      <c r="M88" s="140"/>
      <c r="N88" s="141">
        <v>5000</v>
      </c>
      <c r="O88" s="17" t="s">
        <v>118</v>
      </c>
      <c r="P88" s="67"/>
      <c r="Q88" s="175"/>
      <c r="R88" s="123"/>
      <c r="S88" s="124"/>
      <c r="T88" s="27"/>
      <c r="U88" s="67"/>
      <c r="V88" s="79"/>
      <c r="W88" s="59"/>
      <c r="X88" s="40"/>
      <c r="Y88" s="27"/>
      <c r="Z88" s="67"/>
      <c r="AA88" s="207"/>
      <c r="AB88" s="195"/>
      <c r="AC88" s="196"/>
      <c r="AD88" s="27"/>
      <c r="AE88" s="67"/>
      <c r="AF88" s="175"/>
      <c r="AG88" s="123"/>
      <c r="AH88" s="124"/>
      <c r="AI88" s="27"/>
      <c r="AJ88" s="67"/>
      <c r="AK88" s="207"/>
      <c r="AL88" s="194"/>
      <c r="AM88" s="196"/>
      <c r="AN88" s="27"/>
      <c r="AO88" s="67"/>
      <c r="AP88" s="207"/>
      <c r="AQ88" s="158"/>
      <c r="AR88" s="159"/>
      <c r="AS88" s="27"/>
      <c r="AT88" s="67"/>
      <c r="AU88" s="33"/>
    </row>
    <row r="89" spans="1:47" x14ac:dyDescent="0.25">
      <c r="A89" s="18"/>
      <c r="B89" s="121"/>
      <c r="C89" s="142"/>
      <c r="D89" s="143"/>
      <c r="E89" s="25"/>
      <c r="F89" s="67"/>
      <c r="G89" s="121"/>
      <c r="H89" s="142"/>
      <c r="I89" s="143"/>
      <c r="J89" s="25"/>
      <c r="K89" s="67"/>
      <c r="L89" s="121"/>
      <c r="M89" s="142"/>
      <c r="N89" s="143"/>
      <c r="O89" s="25"/>
      <c r="P89" s="67"/>
      <c r="Q89" s="175"/>
      <c r="R89" s="123"/>
      <c r="S89" s="124"/>
      <c r="T89" s="27"/>
      <c r="U89" s="67"/>
      <c r="V89" s="79"/>
      <c r="W89" s="59"/>
      <c r="X89" s="40"/>
      <c r="Y89" s="27"/>
      <c r="Z89" s="67"/>
      <c r="AA89" s="207"/>
      <c r="AB89" s="195"/>
      <c r="AC89" s="196"/>
      <c r="AD89" s="27"/>
      <c r="AE89" s="67"/>
      <c r="AF89" s="175"/>
      <c r="AG89" s="123"/>
      <c r="AH89" s="124"/>
      <c r="AI89" s="27"/>
      <c r="AJ89" s="67"/>
      <c r="AK89" s="207"/>
      <c r="AL89" s="194"/>
      <c r="AM89" s="196"/>
      <c r="AN89" s="27"/>
      <c r="AO89" s="67"/>
      <c r="AP89" s="207"/>
      <c r="AQ89" s="158"/>
      <c r="AR89" s="159"/>
      <c r="AS89" s="27"/>
      <c r="AT89" s="67"/>
      <c r="AU89" s="33"/>
    </row>
    <row r="90" spans="1:47" x14ac:dyDescent="0.25">
      <c r="A90" s="19" t="s">
        <v>162</v>
      </c>
      <c r="B90" s="121"/>
      <c r="C90" s="144">
        <f>SUM(D91:D97)</f>
        <v>232069</v>
      </c>
      <c r="D90" s="143"/>
      <c r="E90" s="25"/>
      <c r="F90" s="67"/>
      <c r="G90" s="121"/>
      <c r="H90" s="144">
        <f>SUM(I91:I97)</f>
        <v>232813</v>
      </c>
      <c r="I90" s="143"/>
      <c r="J90" s="25"/>
      <c r="K90" s="67"/>
      <c r="L90" s="121"/>
      <c r="M90" s="144">
        <f>SUM(N91:N97)</f>
        <v>227890</v>
      </c>
      <c r="N90" s="143"/>
      <c r="O90" s="25"/>
      <c r="P90" s="67"/>
      <c r="Q90" s="175"/>
      <c r="R90" s="123"/>
      <c r="S90" s="124"/>
      <c r="T90" s="27"/>
      <c r="U90" s="67"/>
      <c r="V90" s="79"/>
      <c r="W90" s="59"/>
      <c r="X90" s="40"/>
      <c r="Y90" s="27"/>
      <c r="Z90" s="67"/>
      <c r="AA90" s="207"/>
      <c r="AB90" s="195"/>
      <c r="AC90" s="196"/>
      <c r="AD90" s="27"/>
      <c r="AE90" s="67"/>
      <c r="AF90" s="175"/>
      <c r="AG90" s="123"/>
      <c r="AH90" s="124"/>
      <c r="AI90" s="27"/>
      <c r="AJ90" s="67"/>
      <c r="AK90" s="207"/>
      <c r="AL90" s="194"/>
      <c r="AM90" s="196"/>
      <c r="AN90" s="27"/>
      <c r="AO90" s="67"/>
      <c r="AP90" s="207"/>
      <c r="AQ90" s="158"/>
      <c r="AR90" s="159"/>
      <c r="AS90" s="27"/>
      <c r="AT90" s="67"/>
      <c r="AU90" s="33"/>
    </row>
    <row r="91" spans="1:47" x14ac:dyDescent="0.25">
      <c r="A91" s="20" t="s">
        <v>123</v>
      </c>
      <c r="B91" s="121"/>
      <c r="C91" s="140"/>
      <c r="D91" s="141">
        <v>28511</v>
      </c>
      <c r="E91" s="17" t="s">
        <v>130</v>
      </c>
      <c r="F91" s="67"/>
      <c r="G91" s="121"/>
      <c r="H91" s="140"/>
      <c r="I91" s="141">
        <v>22069</v>
      </c>
      <c r="J91" s="17" t="s">
        <v>130</v>
      </c>
      <c r="K91" s="67"/>
      <c r="L91" s="121"/>
      <c r="M91" s="140"/>
      <c r="N91" s="141">
        <v>22500</v>
      </c>
      <c r="O91" s="17" t="s">
        <v>130</v>
      </c>
      <c r="P91" s="67"/>
      <c r="Q91" s="175"/>
      <c r="R91" s="123"/>
      <c r="S91" s="124"/>
      <c r="T91" s="27"/>
      <c r="U91" s="67"/>
      <c r="V91" s="79"/>
      <c r="W91" s="59"/>
      <c r="X91" s="40"/>
      <c r="Y91" s="27"/>
      <c r="Z91" s="67"/>
      <c r="AA91" s="207"/>
      <c r="AB91" s="195"/>
      <c r="AC91" s="196"/>
      <c r="AD91" s="27"/>
      <c r="AE91" s="67"/>
      <c r="AF91" s="175"/>
      <c r="AG91" s="123"/>
      <c r="AH91" s="124"/>
      <c r="AI91" s="27"/>
      <c r="AJ91" s="67"/>
      <c r="AK91" s="207"/>
      <c r="AL91" s="194"/>
      <c r="AM91" s="196"/>
      <c r="AN91" s="27"/>
      <c r="AO91" s="67"/>
      <c r="AP91" s="207"/>
      <c r="AQ91" s="158"/>
      <c r="AR91" s="159"/>
      <c r="AS91" s="27"/>
      <c r="AT91" s="67"/>
      <c r="AU91" s="33"/>
    </row>
    <row r="92" spans="1:47" x14ac:dyDescent="0.25">
      <c r="A92" s="20" t="s">
        <v>124</v>
      </c>
      <c r="B92" s="121"/>
      <c r="C92" s="140"/>
      <c r="D92" s="141">
        <v>1451</v>
      </c>
      <c r="E92" s="17" t="s">
        <v>130</v>
      </c>
      <c r="F92" s="67"/>
      <c r="G92" s="121"/>
      <c r="H92" s="140"/>
      <c r="I92" s="141">
        <v>1328</v>
      </c>
      <c r="J92" s="17" t="s">
        <v>130</v>
      </c>
      <c r="K92" s="67"/>
      <c r="L92" s="121"/>
      <c r="M92" s="140"/>
      <c r="N92" s="141">
        <v>1500</v>
      </c>
      <c r="O92" s="17" t="s">
        <v>130</v>
      </c>
      <c r="P92" s="67"/>
      <c r="Q92" s="175"/>
      <c r="R92" s="123"/>
      <c r="S92" s="124"/>
      <c r="T92" s="27"/>
      <c r="U92" s="67"/>
      <c r="V92" s="79"/>
      <c r="W92" s="59"/>
      <c r="X92" s="40"/>
      <c r="Y92" s="27"/>
      <c r="Z92" s="67"/>
      <c r="AA92" s="207"/>
      <c r="AB92" s="195"/>
      <c r="AC92" s="196"/>
      <c r="AD92" s="27"/>
      <c r="AE92" s="67"/>
      <c r="AF92" s="175"/>
      <c r="AG92" s="123"/>
      <c r="AH92" s="124"/>
      <c r="AI92" s="27"/>
      <c r="AJ92" s="67"/>
      <c r="AK92" s="207"/>
      <c r="AL92" s="194"/>
      <c r="AM92" s="196"/>
      <c r="AN92" s="27"/>
      <c r="AO92" s="67"/>
      <c r="AP92" s="207"/>
      <c r="AQ92" s="158"/>
      <c r="AR92" s="159"/>
      <c r="AS92" s="27"/>
      <c r="AT92" s="67"/>
      <c r="AU92" s="33"/>
    </row>
    <row r="93" spans="1:47" x14ac:dyDescent="0.25">
      <c r="A93" s="20" t="s">
        <v>125</v>
      </c>
      <c r="B93" s="121"/>
      <c r="C93" s="140"/>
      <c r="D93" s="141">
        <v>35436</v>
      </c>
      <c r="E93" s="17" t="s">
        <v>130</v>
      </c>
      <c r="F93" s="67"/>
      <c r="G93" s="121"/>
      <c r="H93" s="140"/>
      <c r="I93" s="141">
        <v>39658</v>
      </c>
      <c r="J93" s="17" t="s">
        <v>130</v>
      </c>
      <c r="K93" s="67"/>
      <c r="L93" s="121"/>
      <c r="M93" s="140"/>
      <c r="N93" s="141">
        <v>33000</v>
      </c>
      <c r="O93" s="17" t="s">
        <v>130</v>
      </c>
      <c r="P93" s="67"/>
      <c r="Q93" s="175"/>
      <c r="R93" s="123"/>
      <c r="S93" s="124"/>
      <c r="T93" s="27"/>
      <c r="U93" s="67"/>
      <c r="V93" s="79"/>
      <c r="W93" s="59"/>
      <c r="X93" s="40"/>
      <c r="Y93" s="27"/>
      <c r="Z93" s="67"/>
      <c r="AA93" s="207"/>
      <c r="AB93" s="195"/>
      <c r="AC93" s="196"/>
      <c r="AD93" s="27"/>
      <c r="AE93" s="67"/>
      <c r="AF93" s="175"/>
      <c r="AG93" s="123"/>
      <c r="AH93" s="124"/>
      <c r="AI93" s="27"/>
      <c r="AJ93" s="67"/>
      <c r="AK93" s="207"/>
      <c r="AL93" s="194"/>
      <c r="AM93" s="196"/>
      <c r="AN93" s="27"/>
      <c r="AO93" s="67"/>
      <c r="AP93" s="207"/>
      <c r="AQ93" s="158"/>
      <c r="AR93" s="159"/>
      <c r="AS93" s="27"/>
      <c r="AT93" s="67"/>
      <c r="AU93" s="33"/>
    </row>
    <row r="94" spans="1:47" x14ac:dyDescent="0.25">
      <c r="A94" s="20" t="s">
        <v>126</v>
      </c>
      <c r="B94" s="121"/>
      <c r="C94" s="140"/>
      <c r="D94" s="141">
        <v>74890</v>
      </c>
      <c r="E94" s="17" t="s">
        <v>130</v>
      </c>
      <c r="F94" s="67"/>
      <c r="G94" s="121"/>
      <c r="H94" s="140"/>
      <c r="I94" s="141">
        <v>74884</v>
      </c>
      <c r="J94" s="17" t="s">
        <v>130</v>
      </c>
      <c r="K94" s="67"/>
      <c r="L94" s="121"/>
      <c r="M94" s="140"/>
      <c r="N94" s="141">
        <v>71100</v>
      </c>
      <c r="O94" s="17" t="s">
        <v>130</v>
      </c>
      <c r="P94" s="67"/>
      <c r="Q94" s="175"/>
      <c r="R94" s="123"/>
      <c r="S94" s="124"/>
      <c r="T94" s="27"/>
      <c r="U94" s="67"/>
      <c r="V94" s="79"/>
      <c r="W94" s="59"/>
      <c r="X94" s="40"/>
      <c r="Y94" s="27"/>
      <c r="Z94" s="67"/>
      <c r="AA94" s="207"/>
      <c r="AB94" s="195"/>
      <c r="AC94" s="196"/>
      <c r="AD94" s="27"/>
      <c r="AE94" s="67"/>
      <c r="AF94" s="175"/>
      <c r="AG94" s="123"/>
      <c r="AH94" s="124"/>
      <c r="AI94" s="27"/>
      <c r="AJ94" s="67"/>
      <c r="AK94" s="207"/>
      <c r="AL94" s="194"/>
      <c r="AM94" s="196"/>
      <c r="AN94" s="27"/>
      <c r="AO94" s="67"/>
      <c r="AP94" s="207"/>
      <c r="AQ94" s="158"/>
      <c r="AR94" s="159"/>
      <c r="AS94" s="27"/>
      <c r="AT94" s="67"/>
      <c r="AU94" s="33"/>
    </row>
    <row r="95" spans="1:47" x14ac:dyDescent="0.25">
      <c r="A95" s="20" t="s">
        <v>127</v>
      </c>
      <c r="B95" s="121"/>
      <c r="C95" s="140"/>
      <c r="D95" s="141">
        <v>77469</v>
      </c>
      <c r="E95" s="17" t="s">
        <v>130</v>
      </c>
      <c r="F95" s="67"/>
      <c r="G95" s="121"/>
      <c r="H95" s="140"/>
      <c r="I95" s="141">
        <v>80671</v>
      </c>
      <c r="J95" s="17" t="s">
        <v>130</v>
      </c>
      <c r="K95" s="67"/>
      <c r="L95" s="121"/>
      <c r="M95" s="140"/>
      <c r="N95" s="141">
        <v>85500</v>
      </c>
      <c r="O95" s="17" t="s">
        <v>130</v>
      </c>
      <c r="P95" s="67"/>
      <c r="Q95" s="175"/>
      <c r="R95" s="123"/>
      <c r="S95" s="124"/>
      <c r="T95" s="27"/>
      <c r="U95" s="67"/>
      <c r="V95" s="79"/>
      <c r="W95" s="59"/>
      <c r="X95" s="40"/>
      <c r="Y95" s="27"/>
      <c r="Z95" s="67"/>
      <c r="AA95" s="207"/>
      <c r="AB95" s="195"/>
      <c r="AC95" s="196"/>
      <c r="AD95" s="27"/>
      <c r="AE95" s="67"/>
      <c r="AF95" s="175"/>
      <c r="AG95" s="123"/>
      <c r="AH95" s="124"/>
      <c r="AI95" s="27"/>
      <c r="AJ95" s="67"/>
      <c r="AK95" s="207"/>
      <c r="AL95" s="194"/>
      <c r="AM95" s="196"/>
      <c r="AN95" s="27"/>
      <c r="AO95" s="67"/>
      <c r="AP95" s="207"/>
      <c r="AQ95" s="158"/>
      <c r="AR95" s="159"/>
      <c r="AS95" s="27"/>
      <c r="AT95" s="67"/>
      <c r="AU95" s="33"/>
    </row>
    <row r="96" spans="1:47" x14ac:dyDescent="0.25">
      <c r="A96" s="20" t="s">
        <v>128</v>
      </c>
      <c r="B96" s="121"/>
      <c r="C96" s="140"/>
      <c r="D96" s="141">
        <v>8103</v>
      </c>
      <c r="E96" s="17" t="s">
        <v>130</v>
      </c>
      <c r="F96" s="67"/>
      <c r="G96" s="121"/>
      <c r="H96" s="140"/>
      <c r="I96" s="141">
        <v>8026</v>
      </c>
      <c r="J96" s="17" t="s">
        <v>130</v>
      </c>
      <c r="K96" s="67"/>
      <c r="L96" s="121"/>
      <c r="M96" s="140"/>
      <c r="N96" s="141">
        <v>7500</v>
      </c>
      <c r="O96" s="17" t="s">
        <v>130</v>
      </c>
      <c r="P96" s="67"/>
      <c r="Q96" s="175"/>
      <c r="R96" s="123"/>
      <c r="S96" s="124"/>
      <c r="T96" s="27"/>
      <c r="U96" s="67"/>
      <c r="V96" s="79"/>
      <c r="W96" s="59"/>
      <c r="X96" s="40"/>
      <c r="Y96" s="27"/>
      <c r="Z96" s="67"/>
      <c r="AA96" s="207"/>
      <c r="AB96" s="195"/>
      <c r="AC96" s="196"/>
      <c r="AD96" s="27"/>
      <c r="AE96" s="67"/>
      <c r="AF96" s="175"/>
      <c r="AG96" s="123"/>
      <c r="AH96" s="124"/>
      <c r="AI96" s="27"/>
      <c r="AJ96" s="67"/>
      <c r="AK96" s="207"/>
      <c r="AL96" s="194"/>
      <c r="AM96" s="196"/>
      <c r="AN96" s="27"/>
      <c r="AO96" s="67"/>
      <c r="AP96" s="207"/>
      <c r="AQ96" s="158"/>
      <c r="AR96" s="159"/>
      <c r="AS96" s="27"/>
      <c r="AT96" s="67"/>
      <c r="AU96" s="33"/>
    </row>
    <row r="97" spans="1:47" x14ac:dyDescent="0.25">
      <c r="A97" s="20" t="s">
        <v>129</v>
      </c>
      <c r="B97" s="121"/>
      <c r="C97" s="140"/>
      <c r="D97" s="141">
        <v>6209</v>
      </c>
      <c r="E97" s="17" t="s">
        <v>130</v>
      </c>
      <c r="F97" s="67"/>
      <c r="G97" s="121"/>
      <c r="H97" s="140"/>
      <c r="I97" s="141">
        <v>6177</v>
      </c>
      <c r="J97" s="17" t="s">
        <v>130</v>
      </c>
      <c r="K97" s="67"/>
      <c r="L97" s="121"/>
      <c r="M97" s="140"/>
      <c r="N97" s="141">
        <v>6790</v>
      </c>
      <c r="O97" s="17" t="s">
        <v>130</v>
      </c>
      <c r="P97" s="67"/>
      <c r="Q97" s="175"/>
      <c r="R97" s="123"/>
      <c r="S97" s="124"/>
      <c r="T97" s="27"/>
      <c r="U97" s="67"/>
      <c r="V97" s="79"/>
      <c r="W97" s="59"/>
      <c r="X97" s="40"/>
      <c r="Y97" s="27"/>
      <c r="Z97" s="67"/>
      <c r="AA97" s="207"/>
      <c r="AB97" s="195"/>
      <c r="AC97" s="196"/>
      <c r="AD97" s="27"/>
      <c r="AE97" s="67"/>
      <c r="AF97" s="175"/>
      <c r="AG97" s="123"/>
      <c r="AH97" s="124"/>
      <c r="AI97" s="27"/>
      <c r="AJ97" s="67"/>
      <c r="AK97" s="207"/>
      <c r="AL97" s="194"/>
      <c r="AM97" s="196"/>
      <c r="AN97" s="27"/>
      <c r="AO97" s="67"/>
      <c r="AP97" s="207"/>
      <c r="AQ97" s="158"/>
      <c r="AR97" s="159"/>
      <c r="AS97" s="27"/>
      <c r="AT97" s="67"/>
      <c r="AU97" s="33"/>
    </row>
    <row r="98" spans="1:47" x14ac:dyDescent="0.25">
      <c r="B98" s="145"/>
      <c r="C98" s="127"/>
      <c r="D98" s="120"/>
      <c r="E98" s="17"/>
      <c r="F98" s="67"/>
      <c r="G98" s="145"/>
      <c r="H98" s="127"/>
      <c r="I98" s="120"/>
      <c r="J98" s="17"/>
      <c r="K98" s="67"/>
      <c r="L98" s="145"/>
      <c r="M98" s="127"/>
      <c r="N98" s="120"/>
      <c r="O98" s="17"/>
      <c r="P98" s="67"/>
      <c r="Q98" s="175"/>
      <c r="R98" s="123"/>
      <c r="S98" s="124"/>
      <c r="T98" s="27"/>
      <c r="U98" s="67"/>
      <c r="V98" s="79"/>
      <c r="W98" s="59"/>
      <c r="X98" s="40"/>
      <c r="Y98" s="27"/>
      <c r="Z98" s="67"/>
      <c r="AA98" s="207"/>
      <c r="AB98" s="195"/>
      <c r="AC98" s="196"/>
      <c r="AD98" s="27"/>
      <c r="AE98" s="67"/>
      <c r="AF98" s="175"/>
      <c r="AG98" s="123"/>
      <c r="AH98" s="124"/>
      <c r="AI98" s="27"/>
      <c r="AJ98" s="67"/>
      <c r="AK98" s="207"/>
      <c r="AL98" s="194"/>
      <c r="AM98" s="196"/>
      <c r="AN98" s="27"/>
      <c r="AO98" s="67"/>
      <c r="AP98" s="207"/>
      <c r="AQ98" s="158"/>
      <c r="AR98" s="159"/>
      <c r="AS98" s="27"/>
      <c r="AT98" s="67"/>
      <c r="AU98" s="33"/>
    </row>
    <row r="99" spans="1:47" x14ac:dyDescent="0.25">
      <c r="B99" s="121"/>
      <c r="C99" s="122"/>
      <c r="D99" s="122"/>
      <c r="F99" s="2"/>
      <c r="G99" s="121"/>
      <c r="H99" s="122"/>
      <c r="I99" s="122"/>
      <c r="K99" s="2"/>
      <c r="L99" s="121"/>
      <c r="M99" s="122"/>
      <c r="N99" s="122"/>
      <c r="P99" s="2"/>
      <c r="Q99" s="121"/>
      <c r="R99" s="122"/>
      <c r="S99" s="122"/>
      <c r="U99" s="2"/>
      <c r="V99" s="68"/>
      <c r="W99" s="11"/>
      <c r="X99" s="11"/>
      <c r="Z99" s="2"/>
      <c r="AA99" s="121"/>
      <c r="AB99" s="122"/>
      <c r="AC99" s="122"/>
      <c r="AD99" s="28"/>
      <c r="AE99" s="67"/>
      <c r="AF99" s="121"/>
      <c r="AG99" s="122"/>
      <c r="AH99" s="122"/>
      <c r="AJ99" s="2"/>
      <c r="AK99" s="156"/>
      <c r="AL99" s="194"/>
      <c r="AM99" s="196"/>
      <c r="AO99" s="2"/>
      <c r="AP99" s="206"/>
      <c r="AQ99" s="158"/>
      <c r="AR99" s="159"/>
      <c r="AT99" s="2"/>
      <c r="AU99" s="33"/>
    </row>
    <row r="100" spans="1:47" x14ac:dyDescent="0.25">
      <c r="A100" s="4" t="s">
        <v>213</v>
      </c>
      <c r="B100" s="121"/>
      <c r="C100" s="122"/>
      <c r="D100" s="122"/>
      <c r="F100" s="2"/>
      <c r="G100" s="121"/>
      <c r="H100" s="122"/>
      <c r="I100" s="122"/>
      <c r="K100" s="2"/>
      <c r="L100" s="121"/>
      <c r="M100" s="122"/>
      <c r="N100" s="122"/>
      <c r="P100" s="2"/>
      <c r="Q100" s="121"/>
      <c r="R100" s="122"/>
      <c r="S100" s="122"/>
      <c r="U100" s="2"/>
      <c r="V100" s="68"/>
      <c r="W100" s="11"/>
      <c r="X100" s="11"/>
      <c r="Z100" s="2"/>
      <c r="AA100" s="121"/>
      <c r="AB100" s="122"/>
      <c r="AC100" s="122"/>
      <c r="AD100" s="28"/>
      <c r="AE100" s="67"/>
      <c r="AF100" s="121"/>
      <c r="AG100" s="122"/>
      <c r="AH100" s="122"/>
      <c r="AJ100" s="2"/>
      <c r="AK100" s="156"/>
      <c r="AL100" s="194"/>
      <c r="AM100" s="196"/>
      <c r="AO100" s="2"/>
      <c r="AP100" s="206"/>
      <c r="AQ100" s="158"/>
      <c r="AR100" s="159"/>
      <c r="AT100" s="2"/>
      <c r="AU100" s="33"/>
    </row>
    <row r="101" spans="1:47" x14ac:dyDescent="0.25">
      <c r="B101" s="121"/>
      <c r="C101" s="122"/>
      <c r="D101" s="122"/>
      <c r="F101" s="2"/>
      <c r="G101" s="121"/>
      <c r="H101" s="122"/>
      <c r="I101" s="122"/>
      <c r="K101" s="2"/>
      <c r="L101" s="121"/>
      <c r="M101" s="122"/>
      <c r="N101" s="122"/>
      <c r="P101" s="2"/>
      <c r="Q101" s="121"/>
      <c r="R101" s="122"/>
      <c r="S101" s="122"/>
      <c r="U101" s="2"/>
      <c r="V101" s="68"/>
      <c r="W101" s="11"/>
      <c r="X101" s="11"/>
      <c r="Z101" s="2"/>
      <c r="AA101" s="121"/>
      <c r="AB101" s="122"/>
      <c r="AC101" s="122"/>
      <c r="AD101" s="28"/>
      <c r="AE101" s="67"/>
      <c r="AF101" s="121"/>
      <c r="AG101" s="122"/>
      <c r="AH101" s="122"/>
      <c r="AJ101" s="2"/>
      <c r="AK101" s="156"/>
      <c r="AL101" s="194"/>
      <c r="AM101" s="196"/>
      <c r="AO101" s="2"/>
      <c r="AP101" s="206"/>
      <c r="AQ101" s="158"/>
      <c r="AR101" s="159"/>
      <c r="AT101" s="2"/>
      <c r="AU101" s="33"/>
    </row>
    <row r="102" spans="1:47" x14ac:dyDescent="0.25">
      <c r="A102" s="1" t="s">
        <v>3</v>
      </c>
      <c r="B102" s="114"/>
      <c r="C102" s="110">
        <v>514</v>
      </c>
      <c r="D102" s="111"/>
      <c r="E102" s="22" t="s">
        <v>75</v>
      </c>
      <c r="F102" s="67"/>
      <c r="G102" s="114"/>
      <c r="H102" s="110">
        <f>SUM(I103:I106)</f>
        <v>329</v>
      </c>
      <c r="I102" s="111"/>
      <c r="J102" s="22" t="s">
        <v>75</v>
      </c>
      <c r="K102" s="67"/>
      <c r="L102" s="114"/>
      <c r="M102" s="110">
        <f>SUM(N103:N106)</f>
        <v>630</v>
      </c>
      <c r="N102" s="111"/>
      <c r="O102" s="22" t="s">
        <v>75</v>
      </c>
      <c r="P102" s="67"/>
      <c r="Q102" s="181"/>
      <c r="R102" s="122"/>
      <c r="S102" s="122"/>
      <c r="U102" s="2"/>
      <c r="V102" s="68"/>
      <c r="W102" s="11"/>
      <c r="X102" s="11"/>
      <c r="Z102" s="2"/>
      <c r="AA102" s="121"/>
      <c r="AB102" s="122"/>
      <c r="AC102" s="122"/>
      <c r="AD102" s="28"/>
      <c r="AE102" s="67"/>
      <c r="AF102" s="181"/>
      <c r="AG102" s="122"/>
      <c r="AH102" s="122"/>
      <c r="AJ102" s="2"/>
      <c r="AK102" s="212"/>
      <c r="AL102" s="194"/>
      <c r="AM102" s="196"/>
      <c r="AO102" s="2"/>
      <c r="AP102" s="212"/>
      <c r="AQ102" s="158"/>
      <c r="AR102" s="159"/>
      <c r="AT102" s="2"/>
      <c r="AU102" s="33"/>
    </row>
    <row r="103" spans="1:47" x14ac:dyDescent="0.25">
      <c r="A103" s="2" t="s">
        <v>6</v>
      </c>
      <c r="B103" s="116" t="s">
        <v>49</v>
      </c>
      <c r="C103" s="110"/>
      <c r="D103" s="146">
        <v>366</v>
      </c>
      <c r="E103" s="22" t="s">
        <v>75</v>
      </c>
      <c r="F103" s="67"/>
      <c r="G103" s="116" t="s">
        <v>49</v>
      </c>
      <c r="H103" s="110"/>
      <c r="I103" s="146">
        <v>67</v>
      </c>
      <c r="J103" s="22" t="s">
        <v>75</v>
      </c>
      <c r="K103" s="67"/>
      <c r="L103" s="116" t="s">
        <v>49</v>
      </c>
      <c r="M103" s="110"/>
      <c r="N103" s="132">
        <v>150</v>
      </c>
      <c r="O103" s="22" t="s">
        <v>75</v>
      </c>
      <c r="P103" s="67"/>
      <c r="Q103" s="175"/>
      <c r="R103" s="122"/>
      <c r="S103" s="122"/>
      <c r="U103" s="2"/>
      <c r="V103" s="68"/>
      <c r="W103" s="11"/>
      <c r="X103" s="11"/>
      <c r="Z103" s="2"/>
      <c r="AA103" s="121"/>
      <c r="AB103" s="122"/>
      <c r="AC103" s="122"/>
      <c r="AD103" s="28"/>
      <c r="AE103" s="67"/>
      <c r="AF103" s="175"/>
      <c r="AG103" s="122"/>
      <c r="AH103" s="122"/>
      <c r="AJ103" s="2"/>
      <c r="AK103" s="207"/>
      <c r="AL103" s="194"/>
      <c r="AM103" s="196"/>
      <c r="AO103" s="2"/>
      <c r="AP103" s="207"/>
      <c r="AQ103" s="158"/>
      <c r="AR103" s="159"/>
      <c r="AT103" s="2"/>
      <c r="AU103" s="33"/>
    </row>
    <row r="104" spans="1:47" x14ac:dyDescent="0.25">
      <c r="A104" s="2" t="s">
        <v>4</v>
      </c>
      <c r="B104" s="116" t="s">
        <v>49</v>
      </c>
      <c r="C104" s="110"/>
      <c r="D104" s="146">
        <v>0</v>
      </c>
      <c r="E104" s="22" t="s">
        <v>75</v>
      </c>
      <c r="F104" s="67"/>
      <c r="G104" s="116" t="s">
        <v>49</v>
      </c>
      <c r="H104" s="110"/>
      <c r="I104" s="146">
        <v>0</v>
      </c>
      <c r="J104" s="22" t="s">
        <v>75</v>
      </c>
      <c r="K104" s="67"/>
      <c r="L104" s="116" t="s">
        <v>49</v>
      </c>
      <c r="M104" s="110"/>
      <c r="N104" s="132">
        <v>5</v>
      </c>
      <c r="O104" s="22" t="s">
        <v>75</v>
      </c>
      <c r="P104" s="67"/>
      <c r="Q104" s="175"/>
      <c r="R104" s="122"/>
      <c r="S104" s="122"/>
      <c r="U104" s="2"/>
      <c r="V104" s="68"/>
      <c r="W104" s="11"/>
      <c r="X104" s="11"/>
      <c r="Z104" s="2"/>
      <c r="AA104" s="121"/>
      <c r="AB104" s="122"/>
      <c r="AC104" s="122"/>
      <c r="AD104" s="28"/>
      <c r="AE104" s="67"/>
      <c r="AF104" s="175"/>
      <c r="AG104" s="122"/>
      <c r="AH104" s="122"/>
      <c r="AJ104" s="2"/>
      <c r="AK104" s="207"/>
      <c r="AL104" s="194"/>
      <c r="AM104" s="196"/>
      <c r="AO104" s="2"/>
      <c r="AP104" s="207"/>
      <c r="AQ104" s="158"/>
      <c r="AR104" s="159"/>
      <c r="AT104" s="2"/>
      <c r="AU104" s="33"/>
    </row>
    <row r="105" spans="1:47" x14ac:dyDescent="0.25">
      <c r="A105" s="2" t="s">
        <v>7</v>
      </c>
      <c r="B105" s="116" t="s">
        <v>49</v>
      </c>
      <c r="C105" s="110"/>
      <c r="D105" s="146">
        <v>199</v>
      </c>
      <c r="E105" s="22" t="s">
        <v>75</v>
      </c>
      <c r="F105" s="67"/>
      <c r="G105" s="116" t="s">
        <v>49</v>
      </c>
      <c r="H105" s="110"/>
      <c r="I105" s="146">
        <v>205</v>
      </c>
      <c r="J105" s="22" t="s">
        <v>75</v>
      </c>
      <c r="K105" s="67"/>
      <c r="L105" s="116" t="s">
        <v>49</v>
      </c>
      <c r="M105" s="110"/>
      <c r="N105" s="132">
        <v>450</v>
      </c>
      <c r="O105" s="22" t="s">
        <v>75</v>
      </c>
      <c r="P105" s="67"/>
      <c r="Q105" s="175"/>
      <c r="R105" s="122"/>
      <c r="S105" s="122"/>
      <c r="U105" s="2"/>
      <c r="V105" s="68"/>
      <c r="W105" s="11"/>
      <c r="X105" s="11"/>
      <c r="Z105" s="2"/>
      <c r="AA105" s="121"/>
      <c r="AB105" s="122"/>
      <c r="AC105" s="122"/>
      <c r="AD105" s="28"/>
      <c r="AE105" s="67"/>
      <c r="AF105" s="175"/>
      <c r="AG105" s="122"/>
      <c r="AH105" s="122"/>
      <c r="AJ105" s="2"/>
      <c r="AK105" s="207"/>
      <c r="AL105" s="194"/>
      <c r="AM105" s="196"/>
      <c r="AO105" s="2"/>
      <c r="AP105" s="207"/>
      <c r="AQ105" s="158"/>
      <c r="AR105" s="159"/>
      <c r="AT105" s="2"/>
      <c r="AU105" s="33"/>
    </row>
    <row r="106" spans="1:47" x14ac:dyDescent="0.25">
      <c r="A106" s="2" t="s">
        <v>5</v>
      </c>
      <c r="B106" s="116"/>
      <c r="C106" s="110"/>
      <c r="D106" s="146">
        <v>28</v>
      </c>
      <c r="E106" s="22" t="s">
        <v>75</v>
      </c>
      <c r="F106" s="67"/>
      <c r="G106" s="116"/>
      <c r="H106" s="110"/>
      <c r="I106" s="146">
        <v>57</v>
      </c>
      <c r="J106" s="22" t="s">
        <v>75</v>
      </c>
      <c r="K106" s="67"/>
      <c r="L106" s="116"/>
      <c r="M106" s="110"/>
      <c r="N106" s="132">
        <v>25</v>
      </c>
      <c r="O106" s="22" t="s">
        <v>75</v>
      </c>
      <c r="P106" s="67"/>
      <c r="Q106" s="175"/>
      <c r="R106" s="122"/>
      <c r="S106" s="122"/>
      <c r="U106" s="2"/>
      <c r="V106" s="68"/>
      <c r="W106" s="11"/>
      <c r="X106" s="11"/>
      <c r="Z106" s="2"/>
      <c r="AA106" s="121"/>
      <c r="AB106" s="122"/>
      <c r="AC106" s="122"/>
      <c r="AD106" s="28"/>
      <c r="AE106" s="67"/>
      <c r="AF106" s="175"/>
      <c r="AG106" s="122"/>
      <c r="AH106" s="122"/>
      <c r="AJ106" s="2"/>
      <c r="AK106" s="207"/>
      <c r="AL106" s="194"/>
      <c r="AM106" s="196"/>
      <c r="AO106" s="2"/>
      <c r="AP106" s="207"/>
      <c r="AQ106" s="158"/>
      <c r="AR106" s="159"/>
      <c r="AT106" s="2"/>
      <c r="AU106" s="33"/>
    </row>
    <row r="107" spans="1:47" x14ac:dyDescent="0.25">
      <c r="B107" s="121"/>
      <c r="C107" s="122"/>
      <c r="D107" s="122"/>
      <c r="E107" s="23"/>
      <c r="F107" s="67"/>
      <c r="G107" s="121"/>
      <c r="H107" s="122"/>
      <c r="I107" s="122"/>
      <c r="J107" s="23"/>
      <c r="K107" s="67"/>
      <c r="L107" s="121"/>
      <c r="M107" s="122"/>
      <c r="N107" s="174"/>
      <c r="O107" s="23"/>
      <c r="P107" s="67"/>
      <c r="Q107" s="121"/>
      <c r="R107" s="122"/>
      <c r="S107" s="122"/>
      <c r="U107" s="2"/>
      <c r="V107" s="68"/>
      <c r="W107" s="11"/>
      <c r="X107" s="11"/>
      <c r="Z107" s="2"/>
      <c r="AA107" s="121"/>
      <c r="AB107" s="122"/>
      <c r="AC107" s="122"/>
      <c r="AD107" s="28"/>
      <c r="AE107" s="67"/>
      <c r="AF107" s="121"/>
      <c r="AG107" s="122"/>
      <c r="AH107" s="122"/>
      <c r="AJ107" s="2"/>
      <c r="AK107" s="156"/>
      <c r="AL107" s="194"/>
      <c r="AM107" s="196"/>
      <c r="AO107" s="2"/>
      <c r="AP107" s="206"/>
      <c r="AQ107" s="158"/>
      <c r="AR107" s="159"/>
      <c r="AT107" s="2"/>
      <c r="AU107" s="33"/>
    </row>
    <row r="108" spans="1:47" x14ac:dyDescent="0.25">
      <c r="B108" s="121"/>
      <c r="C108" s="122"/>
      <c r="D108" s="122"/>
      <c r="E108" s="23"/>
      <c r="F108" s="67"/>
      <c r="G108" s="121"/>
      <c r="H108" s="122"/>
      <c r="I108" s="122"/>
      <c r="J108" s="23"/>
      <c r="K108" s="67"/>
      <c r="L108" s="121"/>
      <c r="M108" s="122"/>
      <c r="N108" s="122"/>
      <c r="O108" s="23"/>
      <c r="P108" s="67"/>
      <c r="Q108" s="121"/>
      <c r="R108" s="122"/>
      <c r="S108" s="122"/>
      <c r="U108" s="2"/>
      <c r="V108" s="68"/>
      <c r="W108" s="11"/>
      <c r="X108" s="11"/>
      <c r="Z108" s="2"/>
      <c r="AA108" s="121"/>
      <c r="AB108" s="122"/>
      <c r="AC108" s="122"/>
      <c r="AD108" s="28"/>
      <c r="AE108" s="67"/>
      <c r="AF108" s="121"/>
      <c r="AG108" s="122"/>
      <c r="AH108" s="122"/>
      <c r="AJ108" s="2"/>
      <c r="AK108" s="156"/>
      <c r="AL108" s="194"/>
      <c r="AM108" s="196"/>
      <c r="AO108" s="2"/>
      <c r="AP108" s="206"/>
      <c r="AQ108" s="158"/>
      <c r="AR108" s="159"/>
      <c r="AT108" s="2"/>
      <c r="AU108" s="33"/>
    </row>
    <row r="109" spans="1:47" x14ac:dyDescent="0.25">
      <c r="A109" s="1" t="s">
        <v>210</v>
      </c>
      <c r="B109" s="114"/>
      <c r="C109" s="110">
        <v>450</v>
      </c>
      <c r="D109" s="111"/>
      <c r="E109" s="22"/>
      <c r="F109" s="67"/>
      <c r="G109" s="114"/>
      <c r="H109" s="110">
        <f>SUM(I110:I112)</f>
        <v>284</v>
      </c>
      <c r="I109" s="111"/>
      <c r="J109" s="22"/>
      <c r="K109" s="67"/>
      <c r="L109" s="114"/>
      <c r="M109" s="110">
        <f>SUM(N110:N112)</f>
        <v>265</v>
      </c>
      <c r="N109" s="111"/>
      <c r="O109" s="22"/>
      <c r="P109" s="67"/>
      <c r="Q109" s="121"/>
      <c r="R109" s="122"/>
      <c r="S109" s="122"/>
      <c r="U109" s="2"/>
      <c r="V109" s="68"/>
      <c r="W109" s="11"/>
      <c r="X109" s="11"/>
      <c r="Z109" s="2"/>
      <c r="AA109" s="121"/>
      <c r="AB109" s="122"/>
      <c r="AC109" s="122"/>
      <c r="AD109" s="28"/>
      <c r="AE109" s="67"/>
      <c r="AF109" s="121"/>
      <c r="AG109" s="122"/>
      <c r="AH109" s="122"/>
      <c r="AJ109" s="2"/>
      <c r="AK109" s="156"/>
      <c r="AL109" s="194"/>
      <c r="AM109" s="196"/>
      <c r="AO109" s="2"/>
      <c r="AP109" s="206"/>
      <c r="AQ109" s="158"/>
      <c r="AR109" s="159"/>
      <c r="AT109" s="2"/>
      <c r="AU109" s="33"/>
    </row>
    <row r="110" spans="1:47" x14ac:dyDescent="0.25">
      <c r="A110" s="2" t="s">
        <v>12</v>
      </c>
      <c r="B110" s="116"/>
      <c r="C110" s="110"/>
      <c r="D110" s="111">
        <v>304</v>
      </c>
      <c r="E110" s="22" t="s">
        <v>78</v>
      </c>
      <c r="F110" s="67"/>
      <c r="G110" s="116"/>
      <c r="H110" s="110"/>
      <c r="I110" s="111">
        <v>127</v>
      </c>
      <c r="J110" s="22" t="s">
        <v>78</v>
      </c>
      <c r="K110" s="67"/>
      <c r="L110" s="116"/>
      <c r="M110" s="110"/>
      <c r="N110" s="111">
        <v>100</v>
      </c>
      <c r="O110" s="22" t="s">
        <v>78</v>
      </c>
      <c r="P110" s="67"/>
      <c r="Q110" s="121"/>
      <c r="R110" s="122"/>
      <c r="S110" s="122"/>
      <c r="U110" s="2"/>
      <c r="V110" s="68"/>
      <c r="W110" s="11"/>
      <c r="X110" s="11"/>
      <c r="Z110" s="2"/>
      <c r="AA110" s="121"/>
      <c r="AB110" s="122"/>
      <c r="AC110" s="122"/>
      <c r="AD110" s="28"/>
      <c r="AE110" s="67"/>
      <c r="AF110" s="121"/>
      <c r="AG110" s="122"/>
      <c r="AH110" s="122"/>
      <c r="AJ110" s="2"/>
      <c r="AK110" s="156"/>
      <c r="AL110" s="194"/>
      <c r="AM110" s="196"/>
      <c r="AO110" s="2"/>
      <c r="AP110" s="206"/>
      <c r="AQ110" s="158"/>
      <c r="AR110" s="159"/>
      <c r="AT110" s="2"/>
      <c r="AU110" s="33"/>
    </row>
    <row r="111" spans="1:47" x14ac:dyDescent="0.25">
      <c r="A111" s="2" t="s">
        <v>10</v>
      </c>
      <c r="B111" s="116"/>
      <c r="C111" s="110"/>
      <c r="D111" s="111">
        <v>1</v>
      </c>
      <c r="E111" s="22" t="s">
        <v>78</v>
      </c>
      <c r="F111" s="67"/>
      <c r="G111" s="116"/>
      <c r="H111" s="110"/>
      <c r="I111" s="111">
        <v>0</v>
      </c>
      <c r="J111" s="22" t="s">
        <v>78</v>
      </c>
      <c r="K111" s="67"/>
      <c r="L111" s="116"/>
      <c r="M111" s="110"/>
      <c r="N111" s="111">
        <v>5</v>
      </c>
      <c r="O111" s="22" t="s">
        <v>78</v>
      </c>
      <c r="P111" s="67"/>
      <c r="Q111" s="121"/>
      <c r="R111" s="122"/>
      <c r="S111" s="122"/>
      <c r="U111" s="2"/>
      <c r="V111" s="68"/>
      <c r="W111" s="11"/>
      <c r="X111" s="11"/>
      <c r="Z111" s="2"/>
      <c r="AA111" s="121"/>
      <c r="AB111" s="122"/>
      <c r="AC111" s="122"/>
      <c r="AD111" s="28"/>
      <c r="AE111" s="67"/>
      <c r="AF111" s="121"/>
      <c r="AG111" s="122"/>
      <c r="AH111" s="122"/>
      <c r="AJ111" s="2"/>
      <c r="AK111" s="156"/>
      <c r="AL111" s="194"/>
      <c r="AM111" s="196"/>
      <c r="AO111" s="2"/>
      <c r="AP111" s="206"/>
      <c r="AQ111" s="158"/>
      <c r="AR111" s="159"/>
      <c r="AT111" s="2"/>
      <c r="AU111" s="33"/>
    </row>
    <row r="112" spans="1:47" x14ac:dyDescent="0.25">
      <c r="A112" s="2" t="s">
        <v>11</v>
      </c>
      <c r="B112" s="116"/>
      <c r="C112" s="110"/>
      <c r="D112" s="111">
        <v>145</v>
      </c>
      <c r="E112" s="22" t="s">
        <v>78</v>
      </c>
      <c r="F112" s="67"/>
      <c r="G112" s="116"/>
      <c r="H112" s="110"/>
      <c r="I112" s="111">
        <v>157</v>
      </c>
      <c r="J112" s="22" t="s">
        <v>78</v>
      </c>
      <c r="K112" s="67"/>
      <c r="L112" s="116"/>
      <c r="M112" s="110"/>
      <c r="N112" s="111">
        <v>160</v>
      </c>
      <c r="O112" s="22" t="s">
        <v>78</v>
      </c>
      <c r="P112" s="67"/>
      <c r="Q112" s="121"/>
      <c r="R112" s="122"/>
      <c r="S112" s="122"/>
      <c r="U112" s="2"/>
      <c r="V112" s="68"/>
      <c r="W112" s="11"/>
      <c r="X112" s="11"/>
      <c r="Z112" s="2"/>
      <c r="AA112" s="121"/>
      <c r="AB112" s="122"/>
      <c r="AC112" s="122"/>
      <c r="AD112" s="28"/>
      <c r="AE112" s="67"/>
      <c r="AF112" s="121"/>
      <c r="AG112" s="122"/>
      <c r="AH112" s="122"/>
      <c r="AJ112" s="2"/>
      <c r="AK112" s="156"/>
      <c r="AL112" s="194"/>
      <c r="AM112" s="196"/>
      <c r="AO112" s="2"/>
      <c r="AP112" s="206"/>
      <c r="AQ112" s="158"/>
      <c r="AR112" s="159"/>
      <c r="AT112" s="2"/>
      <c r="AU112" s="33"/>
    </row>
    <row r="113" spans="1:47" x14ac:dyDescent="0.25">
      <c r="B113" s="121"/>
      <c r="C113" s="122"/>
      <c r="D113" s="122"/>
      <c r="F113" s="2"/>
      <c r="G113" s="121"/>
      <c r="H113" s="122"/>
      <c r="I113" s="122"/>
      <c r="K113" s="2"/>
      <c r="L113" s="121"/>
      <c r="M113" s="122"/>
      <c r="N113" s="122"/>
      <c r="P113" s="2"/>
      <c r="Q113" s="121"/>
      <c r="R113" s="122"/>
      <c r="S113" s="122"/>
      <c r="U113" s="2"/>
      <c r="V113" s="68"/>
      <c r="W113" s="11"/>
      <c r="X113" s="11"/>
      <c r="Z113" s="2"/>
      <c r="AA113" s="121"/>
      <c r="AB113" s="122"/>
      <c r="AC113" s="122"/>
      <c r="AD113" s="28"/>
      <c r="AE113" s="67"/>
      <c r="AF113" s="121"/>
      <c r="AG113" s="122"/>
      <c r="AH113" s="122"/>
      <c r="AJ113" s="2"/>
      <c r="AK113" s="156"/>
      <c r="AL113" s="194"/>
      <c r="AM113" s="196"/>
      <c r="AO113" s="2"/>
      <c r="AP113" s="206"/>
      <c r="AQ113" s="158"/>
      <c r="AR113" s="159"/>
      <c r="AT113" s="2"/>
      <c r="AU113" s="33"/>
    </row>
    <row r="114" spans="1:47" x14ac:dyDescent="0.25">
      <c r="B114" s="121"/>
      <c r="C114" s="122"/>
      <c r="D114" s="122"/>
      <c r="F114" s="2"/>
      <c r="G114" s="121"/>
      <c r="H114" s="122"/>
      <c r="I114" s="122"/>
      <c r="K114" s="2"/>
      <c r="L114" s="121"/>
      <c r="M114" s="122"/>
      <c r="N114" s="122"/>
      <c r="P114" s="2"/>
      <c r="Q114" s="121"/>
      <c r="R114" s="122"/>
      <c r="S114" s="122"/>
      <c r="U114" s="2"/>
      <c r="V114" s="68"/>
      <c r="W114" s="11"/>
      <c r="X114" s="11"/>
      <c r="Z114" s="2"/>
      <c r="AA114" s="121"/>
      <c r="AB114" s="122"/>
      <c r="AC114" s="122"/>
      <c r="AD114" s="28"/>
      <c r="AE114" s="67"/>
      <c r="AF114" s="121"/>
      <c r="AG114" s="122"/>
      <c r="AH114" s="122"/>
      <c r="AJ114" s="2"/>
      <c r="AK114" s="156"/>
      <c r="AL114" s="194"/>
      <c r="AM114" s="196"/>
      <c r="AO114" s="2"/>
      <c r="AP114" s="206"/>
      <c r="AQ114" s="158"/>
      <c r="AR114" s="159"/>
      <c r="AT114" s="2"/>
      <c r="AU114" s="33"/>
    </row>
    <row r="115" spans="1:47" x14ac:dyDescent="0.25">
      <c r="A115" s="1" t="s">
        <v>138</v>
      </c>
      <c r="B115" s="108"/>
      <c r="C115" s="110">
        <f>SUM(D116:D141)</f>
        <v>109734</v>
      </c>
      <c r="D115" s="111"/>
      <c r="E115" s="22"/>
      <c r="F115" s="67"/>
      <c r="G115" s="108"/>
      <c r="H115" s="110">
        <f>SUM(I116:I141)</f>
        <v>109189</v>
      </c>
      <c r="I115" s="111"/>
      <c r="J115" s="22"/>
      <c r="K115" s="67"/>
      <c r="L115" s="108"/>
      <c r="M115" s="110">
        <f>SUM(N116:N141)</f>
        <v>163589</v>
      </c>
      <c r="N115" s="111"/>
      <c r="O115" s="22"/>
      <c r="P115" s="67"/>
      <c r="Q115" s="175"/>
      <c r="R115" s="123">
        <v>93993</v>
      </c>
      <c r="S115" s="124"/>
      <c r="T115" s="22"/>
      <c r="U115" s="67"/>
      <c r="V115" s="79"/>
      <c r="W115" s="59">
        <f t="shared" ref="W115" si="12">R115*1.1723</f>
        <v>110187.99389999999</v>
      </c>
      <c r="X115" s="40"/>
      <c r="Y115" s="22"/>
      <c r="Z115" s="67"/>
      <c r="AA115" s="207"/>
      <c r="AB115" s="195">
        <f>R115*1.1525</f>
        <v>108326.93250000001</v>
      </c>
      <c r="AC115" s="196"/>
      <c r="AD115" s="22"/>
      <c r="AE115" s="67"/>
      <c r="AF115" s="175"/>
      <c r="AG115" s="123">
        <f>SUM(AH121:AH151)</f>
        <v>92817</v>
      </c>
      <c r="AH115" s="124"/>
      <c r="AI115" s="22"/>
      <c r="AJ115" s="67"/>
      <c r="AK115" s="207"/>
      <c r="AL115" s="194">
        <f>AG115*0.791/0.681</f>
        <v>107809.46696035242</v>
      </c>
      <c r="AM115" s="196"/>
      <c r="AN115" s="22"/>
      <c r="AO115" s="67"/>
      <c r="AP115" s="207"/>
      <c r="AQ115" s="158">
        <f t="shared" ref="AQ115" si="13">AG115*1.23305</f>
        <v>114448.00185</v>
      </c>
      <c r="AR115" s="159"/>
      <c r="AS115" s="22"/>
      <c r="AT115" s="67"/>
      <c r="AU115" s="33"/>
    </row>
    <row r="116" spans="1:47" x14ac:dyDescent="0.25">
      <c r="A116" s="2" t="s">
        <v>15</v>
      </c>
      <c r="B116" s="114"/>
      <c r="C116" s="122"/>
      <c r="D116" s="111">
        <f>12110-628</f>
        <v>11482</v>
      </c>
      <c r="E116" s="22" t="s">
        <v>81</v>
      </c>
      <c r="F116" s="67"/>
      <c r="G116" s="114"/>
      <c r="H116" s="122"/>
      <c r="I116" s="111">
        <v>13830</v>
      </c>
      <c r="J116" s="22" t="s">
        <v>81</v>
      </c>
      <c r="K116" s="67"/>
      <c r="L116" s="114"/>
      <c r="M116" s="122"/>
      <c r="N116" s="111">
        <f>16957-50</f>
        <v>16907</v>
      </c>
      <c r="O116" s="22" t="s">
        <v>81</v>
      </c>
      <c r="P116" s="67"/>
      <c r="Q116" s="175"/>
      <c r="R116" s="123"/>
      <c r="S116" s="124"/>
      <c r="T116" s="27"/>
      <c r="U116" s="67"/>
      <c r="V116" s="79"/>
      <c r="W116" s="59"/>
      <c r="X116" s="40"/>
      <c r="Y116" s="27"/>
      <c r="Z116" s="67"/>
      <c r="AA116" s="207"/>
      <c r="AB116" s="195"/>
      <c r="AC116" s="196"/>
      <c r="AD116" s="27"/>
      <c r="AE116" s="67"/>
      <c r="AF116" s="175"/>
      <c r="AG116" s="123"/>
      <c r="AH116" s="124"/>
      <c r="AI116" s="27"/>
      <c r="AJ116" s="67"/>
      <c r="AK116" s="207"/>
      <c r="AL116" s="194"/>
      <c r="AM116" s="196"/>
      <c r="AN116" s="27"/>
      <c r="AO116" s="67"/>
      <c r="AP116" s="207"/>
      <c r="AQ116" s="158"/>
      <c r="AR116" s="159"/>
      <c r="AS116" s="27"/>
      <c r="AT116" s="67"/>
      <c r="AU116" s="33"/>
    </row>
    <row r="117" spans="1:47" x14ac:dyDescent="0.25">
      <c r="A117" s="2" t="s">
        <v>16</v>
      </c>
      <c r="B117" s="114"/>
      <c r="C117" s="122"/>
      <c r="D117" s="111">
        <v>7253</v>
      </c>
      <c r="E117" s="22" t="s">
        <v>82</v>
      </c>
      <c r="F117" s="67"/>
      <c r="G117" s="114"/>
      <c r="H117" s="122"/>
      <c r="I117" s="111">
        <v>7550</v>
      </c>
      <c r="J117" s="22" t="s">
        <v>82</v>
      </c>
      <c r="K117" s="67"/>
      <c r="L117" s="114"/>
      <c r="M117" s="122"/>
      <c r="N117" s="111">
        <v>8630</v>
      </c>
      <c r="O117" s="22" t="s">
        <v>82</v>
      </c>
      <c r="P117" s="67"/>
      <c r="Q117" s="175"/>
      <c r="R117" s="123"/>
      <c r="S117" s="124"/>
      <c r="T117" s="27"/>
      <c r="U117" s="67"/>
      <c r="V117" s="79"/>
      <c r="W117" s="59"/>
      <c r="X117" s="40"/>
      <c r="Y117" s="27"/>
      <c r="Z117" s="67"/>
      <c r="AA117" s="207"/>
      <c r="AB117" s="195"/>
      <c r="AC117" s="196"/>
      <c r="AD117" s="27"/>
      <c r="AE117" s="67"/>
      <c r="AF117" s="175"/>
      <c r="AG117" s="123"/>
      <c r="AH117" s="124"/>
      <c r="AI117" s="27"/>
      <c r="AJ117" s="67"/>
      <c r="AK117" s="207"/>
      <c r="AL117" s="194"/>
      <c r="AM117" s="196"/>
      <c r="AN117" s="27"/>
      <c r="AO117" s="67"/>
      <c r="AP117" s="207"/>
      <c r="AQ117" s="158"/>
      <c r="AR117" s="159"/>
      <c r="AS117" s="27"/>
      <c r="AT117" s="67"/>
      <c r="AU117" s="33"/>
    </row>
    <row r="118" spans="1:47" x14ac:dyDescent="0.25">
      <c r="A118" s="2" t="s">
        <v>17</v>
      </c>
      <c r="B118" s="114"/>
      <c r="C118" s="122"/>
      <c r="D118" s="111">
        <v>4748</v>
      </c>
      <c r="E118" s="22" t="s">
        <v>83</v>
      </c>
      <c r="F118" s="67"/>
      <c r="G118" s="114"/>
      <c r="H118" s="122"/>
      <c r="I118" s="111">
        <v>4873</v>
      </c>
      <c r="J118" s="22" t="s">
        <v>83</v>
      </c>
      <c r="K118" s="67"/>
      <c r="L118" s="114"/>
      <c r="M118" s="122"/>
      <c r="N118" s="111">
        <v>7635</v>
      </c>
      <c r="O118" s="22" t="s">
        <v>83</v>
      </c>
      <c r="P118" s="67"/>
      <c r="Q118" s="175"/>
      <c r="R118" s="123"/>
      <c r="S118" s="124"/>
      <c r="T118" s="27"/>
      <c r="U118" s="67"/>
      <c r="V118" s="79"/>
      <c r="W118" s="59"/>
      <c r="X118" s="40"/>
      <c r="Y118" s="27"/>
      <c r="Z118" s="67"/>
      <c r="AA118" s="207"/>
      <c r="AB118" s="195"/>
      <c r="AC118" s="196"/>
      <c r="AD118" s="27"/>
      <c r="AE118" s="67"/>
      <c r="AF118" s="175"/>
      <c r="AG118" s="123"/>
      <c r="AH118" s="124"/>
      <c r="AI118" s="27"/>
      <c r="AJ118" s="67"/>
      <c r="AK118" s="207"/>
      <c r="AL118" s="194"/>
      <c r="AM118" s="196"/>
      <c r="AN118" s="27"/>
      <c r="AO118" s="67"/>
      <c r="AP118" s="207"/>
      <c r="AQ118" s="158"/>
      <c r="AR118" s="159"/>
      <c r="AS118" s="27"/>
      <c r="AT118" s="67"/>
      <c r="AU118" s="33"/>
    </row>
    <row r="119" spans="1:47" x14ac:dyDescent="0.25">
      <c r="A119" s="2" t="s">
        <v>18</v>
      </c>
      <c r="B119" s="114"/>
      <c r="C119" s="122"/>
      <c r="D119" s="111">
        <f>1559-165</f>
        <v>1394</v>
      </c>
      <c r="E119" s="22" t="s">
        <v>84</v>
      </c>
      <c r="F119" s="67"/>
      <c r="G119" s="114"/>
      <c r="H119" s="122"/>
      <c r="I119" s="111">
        <v>1150</v>
      </c>
      <c r="J119" s="22" t="s">
        <v>84</v>
      </c>
      <c r="K119" s="67"/>
      <c r="L119" s="114"/>
      <c r="M119" s="122"/>
      <c r="N119" s="111">
        <f>2299-165</f>
        <v>2134</v>
      </c>
      <c r="O119" s="22" t="s">
        <v>84</v>
      </c>
      <c r="P119" s="67"/>
      <c r="Q119" s="175"/>
      <c r="R119" s="123"/>
      <c r="S119" s="124"/>
      <c r="T119" s="27"/>
      <c r="U119" s="67"/>
      <c r="V119" s="79"/>
      <c r="W119" s="59"/>
      <c r="X119" s="40"/>
      <c r="Y119" s="27"/>
      <c r="Z119" s="67"/>
      <c r="AA119" s="207"/>
      <c r="AB119" s="195"/>
      <c r="AC119" s="196"/>
      <c r="AD119" s="27"/>
      <c r="AE119" s="67"/>
      <c r="AF119" s="175"/>
      <c r="AG119" s="123"/>
      <c r="AH119" s="124"/>
      <c r="AI119" s="27"/>
      <c r="AJ119" s="67"/>
      <c r="AK119" s="207"/>
      <c r="AL119" s="194"/>
      <c r="AM119" s="196"/>
      <c r="AN119" s="27"/>
      <c r="AO119" s="67"/>
      <c r="AP119" s="207"/>
      <c r="AQ119" s="158"/>
      <c r="AR119" s="159"/>
      <c r="AS119" s="27"/>
      <c r="AT119" s="67"/>
      <c r="AU119" s="33"/>
    </row>
    <row r="120" spans="1:47" x14ac:dyDescent="0.25">
      <c r="A120" s="2" t="s">
        <v>19</v>
      </c>
      <c r="B120" s="114"/>
      <c r="C120" s="122"/>
      <c r="D120" s="111">
        <f>668-50</f>
        <v>618</v>
      </c>
      <c r="E120" s="22" t="s">
        <v>85</v>
      </c>
      <c r="F120" s="67"/>
      <c r="G120" s="114"/>
      <c r="H120" s="122"/>
      <c r="I120" s="111">
        <v>479</v>
      </c>
      <c r="J120" s="22" t="s">
        <v>85</v>
      </c>
      <c r="K120" s="67"/>
      <c r="L120" s="114"/>
      <c r="M120" s="122"/>
      <c r="N120" s="111">
        <v>644</v>
      </c>
      <c r="O120" s="22" t="s">
        <v>85</v>
      </c>
      <c r="P120" s="67"/>
      <c r="Q120" s="175"/>
      <c r="R120" s="123"/>
      <c r="S120" s="124"/>
      <c r="T120" s="27"/>
      <c r="U120" s="67"/>
      <c r="V120" s="79"/>
      <c r="W120" s="59"/>
      <c r="X120" s="40"/>
      <c r="Y120" s="27"/>
      <c r="Z120" s="67"/>
      <c r="AA120" s="207"/>
      <c r="AB120" s="195"/>
      <c r="AC120" s="196"/>
      <c r="AD120" s="27"/>
      <c r="AE120" s="67"/>
      <c r="AF120" s="175"/>
      <c r="AG120" s="123"/>
      <c r="AH120" s="124"/>
      <c r="AI120" s="27"/>
      <c r="AJ120" s="67"/>
      <c r="AK120" s="207"/>
      <c r="AL120" s="194"/>
      <c r="AM120" s="196"/>
      <c r="AN120" s="27"/>
      <c r="AO120" s="67"/>
      <c r="AP120" s="207"/>
      <c r="AQ120" s="158"/>
      <c r="AR120" s="159"/>
      <c r="AS120" s="27"/>
      <c r="AT120" s="67"/>
      <c r="AU120" s="33"/>
    </row>
    <row r="121" spans="1:47" x14ac:dyDescent="0.25">
      <c r="A121" s="2" t="s">
        <v>28</v>
      </c>
      <c r="B121" s="108"/>
      <c r="C121" s="122"/>
      <c r="D121" s="111">
        <f>3097-470</f>
        <v>2627</v>
      </c>
      <c r="E121" s="22" t="s">
        <v>86</v>
      </c>
      <c r="F121" s="67"/>
      <c r="G121" s="108"/>
      <c r="H121" s="122"/>
      <c r="I121" s="111">
        <v>2923</v>
      </c>
      <c r="J121" s="22" t="s">
        <v>86</v>
      </c>
      <c r="K121" s="67"/>
      <c r="L121" s="108"/>
      <c r="M121" s="122"/>
      <c r="N121" s="111">
        <f>6168-440</f>
        <v>5728</v>
      </c>
      <c r="O121" s="22" t="s">
        <v>86</v>
      </c>
      <c r="P121" s="67"/>
      <c r="Q121" s="175"/>
      <c r="R121" s="123"/>
      <c r="S121" s="124">
        <v>1234</v>
      </c>
      <c r="T121" s="27" t="s">
        <v>54</v>
      </c>
      <c r="U121" s="67"/>
      <c r="V121" s="79"/>
      <c r="W121" s="59"/>
      <c r="X121" s="40">
        <f t="shared" ref="X121" si="14">S121*1.1723</f>
        <v>1446.6181999999999</v>
      </c>
      <c r="Y121" s="27" t="s">
        <v>54</v>
      </c>
      <c r="Z121" s="67"/>
      <c r="AA121" s="207"/>
      <c r="AB121" s="195"/>
      <c r="AC121" s="196">
        <f>S121*1.1525</f>
        <v>1422.1850000000002</v>
      </c>
      <c r="AD121" s="27" t="s">
        <v>54</v>
      </c>
      <c r="AE121" s="67"/>
      <c r="AF121" s="175"/>
      <c r="AG121" s="123"/>
      <c r="AH121" s="124">
        <v>1028</v>
      </c>
      <c r="AI121" s="27" t="s">
        <v>54</v>
      </c>
      <c r="AJ121" s="67"/>
      <c r="AK121" s="207"/>
      <c r="AL121" s="194"/>
      <c r="AM121" s="196">
        <f>AH121*0.791/0.681</f>
        <v>1194.0499265785609</v>
      </c>
      <c r="AN121" s="27" t="s">
        <v>54</v>
      </c>
      <c r="AO121" s="67"/>
      <c r="AP121" s="207"/>
      <c r="AQ121" s="158"/>
      <c r="AR121" s="159">
        <f t="shared" ref="AR121" si="15">AH121*1.23305</f>
        <v>1267.5753999999999</v>
      </c>
      <c r="AS121" s="27" t="s">
        <v>54</v>
      </c>
      <c r="AT121" s="67"/>
      <c r="AU121" s="33"/>
    </row>
    <row r="122" spans="1:47" x14ac:dyDescent="0.25">
      <c r="A122" s="2" t="s">
        <v>29</v>
      </c>
      <c r="B122" s="108"/>
      <c r="C122" s="122"/>
      <c r="D122" s="111">
        <f>6955-715</f>
        <v>6240</v>
      </c>
      <c r="E122" s="22" t="s">
        <v>87</v>
      </c>
      <c r="F122" s="67"/>
      <c r="G122" s="108"/>
      <c r="H122" s="122"/>
      <c r="I122" s="111">
        <v>6738</v>
      </c>
      <c r="J122" s="22" t="s">
        <v>87</v>
      </c>
      <c r="K122" s="67"/>
      <c r="L122" s="108"/>
      <c r="M122" s="122"/>
      <c r="N122" s="111">
        <v>5270</v>
      </c>
      <c r="O122" s="22" t="s">
        <v>87</v>
      </c>
      <c r="P122" s="67"/>
      <c r="Q122" s="175"/>
      <c r="R122" s="123"/>
      <c r="S122" s="124"/>
      <c r="T122" s="27"/>
      <c r="U122" s="67"/>
      <c r="V122" s="79"/>
      <c r="W122" s="59"/>
      <c r="X122" s="40"/>
      <c r="Y122" s="27"/>
      <c r="Z122" s="67"/>
      <c r="AA122" s="207"/>
      <c r="AB122" s="195"/>
      <c r="AC122" s="196"/>
      <c r="AD122" s="27"/>
      <c r="AE122" s="67"/>
      <c r="AF122" s="175"/>
      <c r="AG122" s="123"/>
      <c r="AH122" s="124"/>
      <c r="AI122" s="27"/>
      <c r="AJ122" s="67"/>
      <c r="AK122" s="207"/>
      <c r="AL122" s="194"/>
      <c r="AM122" s="196"/>
      <c r="AN122" s="27"/>
      <c r="AO122" s="67"/>
      <c r="AP122" s="207"/>
      <c r="AQ122" s="158"/>
      <c r="AR122" s="159"/>
      <c r="AS122" s="27"/>
      <c r="AT122" s="67"/>
      <c r="AU122" s="33"/>
    </row>
    <row r="123" spans="1:47" x14ac:dyDescent="0.25">
      <c r="A123" s="2" t="s">
        <v>30</v>
      </c>
      <c r="B123" s="108"/>
      <c r="C123" s="122"/>
      <c r="D123" s="111">
        <v>435</v>
      </c>
      <c r="E123" s="22" t="s">
        <v>88</v>
      </c>
      <c r="F123" s="67"/>
      <c r="G123" s="108"/>
      <c r="H123" s="122"/>
      <c r="I123" s="111">
        <v>896</v>
      </c>
      <c r="J123" s="22" t="s">
        <v>88</v>
      </c>
      <c r="K123" s="67"/>
      <c r="L123" s="108"/>
      <c r="M123" s="122"/>
      <c r="N123" s="111">
        <v>1416</v>
      </c>
      <c r="O123" s="22" t="s">
        <v>88</v>
      </c>
      <c r="P123" s="67"/>
      <c r="Q123" s="175"/>
      <c r="R123" s="123"/>
      <c r="S123" s="124"/>
      <c r="T123" s="27"/>
      <c r="U123" s="67"/>
      <c r="V123" s="79"/>
      <c r="W123" s="59"/>
      <c r="X123" s="40"/>
      <c r="Y123" s="27"/>
      <c r="Z123" s="67"/>
      <c r="AA123" s="207"/>
      <c r="AB123" s="195"/>
      <c r="AC123" s="196"/>
      <c r="AD123" s="27"/>
      <c r="AE123" s="67"/>
      <c r="AF123" s="175"/>
      <c r="AG123" s="123"/>
      <c r="AH123" s="124"/>
      <c r="AI123" s="27"/>
      <c r="AJ123" s="67"/>
      <c r="AK123" s="207"/>
      <c r="AL123" s="194"/>
      <c r="AM123" s="196"/>
      <c r="AN123" s="27"/>
      <c r="AO123" s="67"/>
      <c r="AP123" s="207"/>
      <c r="AQ123" s="158"/>
      <c r="AR123" s="159"/>
      <c r="AS123" s="27"/>
      <c r="AT123" s="67"/>
      <c r="AU123" s="33"/>
    </row>
    <row r="124" spans="1:47" x14ac:dyDescent="0.25">
      <c r="A124" s="2" t="s">
        <v>31</v>
      </c>
      <c r="B124" s="108"/>
      <c r="C124" s="122"/>
      <c r="D124" s="111">
        <f>13789-430</f>
        <v>13359</v>
      </c>
      <c r="E124" s="22" t="s">
        <v>89</v>
      </c>
      <c r="F124" s="67" t="s">
        <v>212</v>
      </c>
      <c r="G124" s="108"/>
      <c r="H124" s="122"/>
      <c r="I124" s="111">
        <v>10405</v>
      </c>
      <c r="J124" s="22" t="s">
        <v>89</v>
      </c>
      <c r="K124" s="67" t="s">
        <v>212</v>
      </c>
      <c r="L124" s="108"/>
      <c r="M124" s="122"/>
      <c r="N124" s="111">
        <f>14133-430</f>
        <v>13703</v>
      </c>
      <c r="O124" s="22" t="s">
        <v>89</v>
      </c>
      <c r="P124" s="67" t="s">
        <v>212</v>
      </c>
      <c r="Q124" s="175"/>
      <c r="R124" s="123"/>
      <c r="S124" s="124">
        <v>2882</v>
      </c>
      <c r="T124" s="27" t="s">
        <v>54</v>
      </c>
      <c r="U124" s="67"/>
      <c r="V124" s="79"/>
      <c r="W124" s="59"/>
      <c r="X124" s="40">
        <f t="shared" ref="X124" si="16">S124*1.1723</f>
        <v>3378.5685999999996</v>
      </c>
      <c r="Y124" s="27" t="s">
        <v>54</v>
      </c>
      <c r="Z124" s="67"/>
      <c r="AA124" s="207"/>
      <c r="AB124" s="195"/>
      <c r="AC124" s="196">
        <f>S124*1.1525</f>
        <v>3321.5050000000001</v>
      </c>
      <c r="AD124" s="27" t="s">
        <v>54</v>
      </c>
      <c r="AE124" s="67"/>
      <c r="AF124" s="175"/>
      <c r="AG124" s="123"/>
      <c r="AH124" s="124">
        <v>2178</v>
      </c>
      <c r="AI124" s="27" t="s">
        <v>54</v>
      </c>
      <c r="AJ124" s="67"/>
      <c r="AK124" s="207"/>
      <c r="AL124" s="194"/>
      <c r="AM124" s="196">
        <f>AH124*0.791/0.681</f>
        <v>2529.8061674008809</v>
      </c>
      <c r="AN124" s="27" t="s">
        <v>54</v>
      </c>
      <c r="AO124" s="67"/>
      <c r="AP124" s="207"/>
      <c r="AQ124" s="158"/>
      <c r="AR124" s="159">
        <f t="shared" ref="AR124" si="17">AH124*1.23305</f>
        <v>2685.5828999999999</v>
      </c>
      <c r="AS124" s="27" t="s">
        <v>54</v>
      </c>
      <c r="AT124" s="67"/>
      <c r="AU124" s="33"/>
    </row>
    <row r="125" spans="1:47" x14ac:dyDescent="0.25">
      <c r="A125" s="2" t="s">
        <v>43</v>
      </c>
      <c r="B125" s="108"/>
      <c r="C125" s="122"/>
      <c r="D125" s="111">
        <f>855-150</f>
        <v>705</v>
      </c>
      <c r="E125" s="22" t="s">
        <v>91</v>
      </c>
      <c r="F125" s="67"/>
      <c r="G125" s="108"/>
      <c r="H125" s="122"/>
      <c r="I125" s="111">
        <v>716</v>
      </c>
      <c r="J125" s="22" t="s">
        <v>91</v>
      </c>
      <c r="K125" s="67"/>
      <c r="L125" s="108"/>
      <c r="M125" s="122"/>
      <c r="N125" s="111">
        <f>1664-150</f>
        <v>1514</v>
      </c>
      <c r="O125" s="22" t="s">
        <v>91</v>
      </c>
      <c r="P125" s="67"/>
      <c r="Q125" s="175"/>
      <c r="R125" s="123"/>
      <c r="S125" s="124"/>
      <c r="T125" s="27"/>
      <c r="U125" s="67"/>
      <c r="V125" s="79"/>
      <c r="W125" s="59"/>
      <c r="X125" s="40"/>
      <c r="Y125" s="27"/>
      <c r="Z125" s="67"/>
      <c r="AA125" s="207"/>
      <c r="AB125" s="195"/>
      <c r="AC125" s="196"/>
      <c r="AD125" s="27"/>
      <c r="AE125" s="67"/>
      <c r="AF125" s="175"/>
      <c r="AG125" s="123"/>
      <c r="AH125" s="124"/>
      <c r="AI125" s="27"/>
      <c r="AJ125" s="67"/>
      <c r="AK125" s="207"/>
      <c r="AL125" s="194"/>
      <c r="AM125" s="196"/>
      <c r="AN125" s="27"/>
      <c r="AO125" s="67"/>
      <c r="AP125" s="207"/>
      <c r="AQ125" s="158"/>
      <c r="AR125" s="159"/>
      <c r="AS125" s="27"/>
      <c r="AT125" s="67"/>
      <c r="AU125" s="33"/>
    </row>
    <row r="126" spans="1:47" x14ac:dyDescent="0.25">
      <c r="A126" s="2" t="s">
        <v>92</v>
      </c>
      <c r="B126" s="108"/>
      <c r="C126" s="122"/>
      <c r="D126" s="111">
        <v>157</v>
      </c>
      <c r="E126" s="22" t="s">
        <v>93</v>
      </c>
      <c r="F126" s="67"/>
      <c r="G126" s="108"/>
      <c r="H126" s="122"/>
      <c r="I126" s="111">
        <v>28</v>
      </c>
      <c r="J126" s="22" t="s">
        <v>93</v>
      </c>
      <c r="K126" s="67"/>
      <c r="L126" s="108"/>
      <c r="M126" s="122"/>
      <c r="N126" s="111">
        <v>265</v>
      </c>
      <c r="O126" s="22" t="s">
        <v>93</v>
      </c>
      <c r="P126" s="67"/>
      <c r="Q126" s="175"/>
      <c r="R126" s="123"/>
      <c r="S126" s="124"/>
      <c r="T126" s="27"/>
      <c r="U126" s="67"/>
      <c r="V126" s="79"/>
      <c r="W126" s="59"/>
      <c r="X126" s="40"/>
      <c r="Y126" s="27"/>
      <c r="Z126" s="67"/>
      <c r="AA126" s="207"/>
      <c r="AB126" s="195"/>
      <c r="AC126" s="196"/>
      <c r="AD126" s="27"/>
      <c r="AE126" s="67"/>
      <c r="AF126" s="175"/>
      <c r="AG126" s="123"/>
      <c r="AH126" s="124"/>
      <c r="AI126" s="27"/>
      <c r="AJ126" s="67"/>
      <c r="AK126" s="207"/>
      <c r="AL126" s="194"/>
      <c r="AM126" s="196"/>
      <c r="AN126" s="27"/>
      <c r="AO126" s="67"/>
      <c r="AP126" s="207"/>
      <c r="AQ126" s="158"/>
      <c r="AR126" s="159"/>
      <c r="AS126" s="27"/>
      <c r="AT126" s="67"/>
      <c r="AU126" s="33"/>
    </row>
    <row r="127" spans="1:47" x14ac:dyDescent="0.25">
      <c r="A127" s="2" t="s">
        <v>94</v>
      </c>
      <c r="B127" s="108"/>
      <c r="C127" s="122"/>
      <c r="D127" s="111">
        <v>90</v>
      </c>
      <c r="E127" s="22" t="s">
        <v>95</v>
      </c>
      <c r="F127" s="67"/>
      <c r="G127" s="108"/>
      <c r="H127" s="122"/>
      <c r="I127" s="111">
        <v>89</v>
      </c>
      <c r="J127" s="22" t="s">
        <v>95</v>
      </c>
      <c r="K127" s="67"/>
      <c r="L127" s="108"/>
      <c r="M127" s="122"/>
      <c r="N127" s="111">
        <v>1555</v>
      </c>
      <c r="O127" s="22" t="s">
        <v>95</v>
      </c>
      <c r="P127" s="67"/>
      <c r="Q127" s="175"/>
      <c r="R127" s="123"/>
      <c r="S127" s="124"/>
      <c r="T127" s="27"/>
      <c r="U127" s="67"/>
      <c r="V127" s="79"/>
      <c r="W127" s="59"/>
      <c r="X127" s="40"/>
      <c r="Y127" s="27"/>
      <c r="Z127" s="67"/>
      <c r="AA127" s="207"/>
      <c r="AB127" s="195"/>
      <c r="AC127" s="196"/>
      <c r="AD127" s="27"/>
      <c r="AE127" s="67"/>
      <c r="AF127" s="175"/>
      <c r="AG127" s="123"/>
      <c r="AH127" s="124"/>
      <c r="AI127" s="27"/>
      <c r="AJ127" s="67"/>
      <c r="AK127" s="207"/>
      <c r="AL127" s="194"/>
      <c r="AM127" s="196"/>
      <c r="AN127" s="27"/>
      <c r="AO127" s="67"/>
      <c r="AP127" s="207"/>
      <c r="AQ127" s="158"/>
      <c r="AR127" s="159"/>
      <c r="AS127" s="27"/>
      <c r="AT127" s="67"/>
      <c r="AU127" s="33"/>
    </row>
    <row r="128" spans="1:47" x14ac:dyDescent="0.25">
      <c r="A128" s="2" t="s">
        <v>52</v>
      </c>
      <c r="B128" s="108"/>
      <c r="C128" s="122"/>
      <c r="D128" s="111">
        <f>3384-315</f>
        <v>3069</v>
      </c>
      <c r="E128" s="22" t="s">
        <v>96</v>
      </c>
      <c r="F128" s="67"/>
      <c r="G128" s="108"/>
      <c r="H128" s="122"/>
      <c r="I128" s="111">
        <v>3581</v>
      </c>
      <c r="J128" s="22" t="s">
        <v>96</v>
      </c>
      <c r="K128" s="67"/>
      <c r="L128" s="108"/>
      <c r="M128" s="122"/>
      <c r="N128" s="111">
        <f>4888-175</f>
        <v>4713</v>
      </c>
      <c r="O128" s="22" t="s">
        <v>96</v>
      </c>
      <c r="P128" s="67"/>
      <c r="Q128" s="175"/>
      <c r="R128" s="123"/>
      <c r="S128" s="124">
        <f>6100+543</f>
        <v>6643</v>
      </c>
      <c r="T128" s="27" t="s">
        <v>54</v>
      </c>
      <c r="U128" s="67"/>
      <c r="V128" s="79"/>
      <c r="W128" s="59"/>
      <c r="X128" s="40">
        <f t="shared" ref="X128" si="18">S128*1.1723</f>
        <v>7787.5888999999997</v>
      </c>
      <c r="Y128" s="27" t="s">
        <v>54</v>
      </c>
      <c r="Z128" s="67"/>
      <c r="AA128" s="207"/>
      <c r="AB128" s="195"/>
      <c r="AC128" s="196">
        <f>S128*1.1525</f>
        <v>7656.0575000000008</v>
      </c>
      <c r="AD128" s="27" t="s">
        <v>54</v>
      </c>
      <c r="AE128" s="67"/>
      <c r="AF128" s="175"/>
      <c r="AG128" s="123"/>
      <c r="AH128" s="124">
        <f>5699+903</f>
        <v>6602</v>
      </c>
      <c r="AI128" s="27" t="s">
        <v>54</v>
      </c>
      <c r="AJ128" s="67"/>
      <c r="AK128" s="207"/>
      <c r="AL128" s="194"/>
      <c r="AM128" s="196">
        <f>AH128*0.791/0.681</f>
        <v>7668.4023494860494</v>
      </c>
      <c r="AN128" s="27" t="s">
        <v>54</v>
      </c>
      <c r="AO128" s="67"/>
      <c r="AP128" s="207"/>
      <c r="AQ128" s="158"/>
      <c r="AR128" s="159">
        <f t="shared" ref="AR128" si="19">AH128*1.23305</f>
        <v>8140.5960999999998</v>
      </c>
      <c r="AS128" s="27" t="s">
        <v>54</v>
      </c>
      <c r="AT128" s="67"/>
      <c r="AU128" s="33"/>
    </row>
    <row r="129" spans="1:47" x14ac:dyDescent="0.25">
      <c r="A129" s="2" t="s">
        <v>48</v>
      </c>
      <c r="B129" s="108"/>
      <c r="C129" s="122"/>
      <c r="D129" s="111">
        <v>122</v>
      </c>
      <c r="E129" s="22" t="s">
        <v>97</v>
      </c>
      <c r="F129" s="67"/>
      <c r="G129" s="108"/>
      <c r="H129" s="122"/>
      <c r="I129" s="111">
        <v>73</v>
      </c>
      <c r="J129" s="22" t="s">
        <v>97</v>
      </c>
      <c r="K129" s="67"/>
      <c r="L129" s="108"/>
      <c r="M129" s="122"/>
      <c r="N129" s="111">
        <v>1989</v>
      </c>
      <c r="O129" s="22" t="s">
        <v>97</v>
      </c>
      <c r="P129" s="67"/>
      <c r="Q129" s="175"/>
      <c r="R129" s="123"/>
      <c r="S129" s="124"/>
      <c r="T129" s="27"/>
      <c r="U129" s="67"/>
      <c r="V129" s="79"/>
      <c r="W129" s="59"/>
      <c r="X129" s="40"/>
      <c r="Y129" s="27"/>
      <c r="Z129" s="67"/>
      <c r="AA129" s="207"/>
      <c r="AB129" s="195"/>
      <c r="AC129" s="196"/>
      <c r="AD129" s="27"/>
      <c r="AE129" s="67"/>
      <c r="AF129" s="175"/>
      <c r="AG129" s="123"/>
      <c r="AH129" s="124"/>
      <c r="AI129" s="27"/>
      <c r="AJ129" s="67"/>
      <c r="AK129" s="207"/>
      <c r="AL129" s="194"/>
      <c r="AM129" s="196"/>
      <c r="AN129" s="27"/>
      <c r="AO129" s="67"/>
      <c r="AP129" s="207"/>
      <c r="AQ129" s="158"/>
      <c r="AR129" s="159"/>
      <c r="AS129" s="27"/>
      <c r="AT129" s="67"/>
      <c r="AU129" s="33"/>
    </row>
    <row r="130" spans="1:47" x14ac:dyDescent="0.25">
      <c r="A130" s="2" t="s">
        <v>47</v>
      </c>
      <c r="B130" s="108"/>
      <c r="C130" s="122"/>
      <c r="D130" s="111">
        <f>52923-5680-7862-185</f>
        <v>39196</v>
      </c>
      <c r="E130" s="22" t="s">
        <v>98</v>
      </c>
      <c r="F130" s="67" t="s">
        <v>250</v>
      </c>
      <c r="G130" s="108"/>
      <c r="H130" s="122"/>
      <c r="I130" s="111">
        <f>49925-4650-2738-2125</f>
        <v>40412</v>
      </c>
      <c r="J130" s="22" t="s">
        <v>98</v>
      </c>
      <c r="K130" s="67" t="s">
        <v>250</v>
      </c>
      <c r="L130" s="108"/>
      <c r="M130" s="122"/>
      <c r="N130" s="111">
        <f>66448-7089-4346-5446-30</f>
        <v>49537</v>
      </c>
      <c r="O130" s="22" t="s">
        <v>98</v>
      </c>
      <c r="P130" s="67" t="s">
        <v>250</v>
      </c>
      <c r="Q130" s="175" t="s">
        <v>49</v>
      </c>
      <c r="R130" s="123"/>
      <c r="S130" s="124"/>
      <c r="T130" s="27"/>
      <c r="U130" s="67"/>
      <c r="V130" s="79"/>
      <c r="W130" s="59"/>
      <c r="X130" s="40"/>
      <c r="Y130" s="27"/>
      <c r="Z130" s="67"/>
      <c r="AA130" s="207"/>
      <c r="AB130" s="195"/>
      <c r="AC130" s="196"/>
      <c r="AD130" s="27"/>
      <c r="AE130" s="67"/>
      <c r="AF130" s="175"/>
      <c r="AG130" s="123"/>
      <c r="AH130" s="124"/>
      <c r="AI130" s="27"/>
      <c r="AJ130" s="67"/>
      <c r="AK130" s="207"/>
      <c r="AL130" s="194"/>
      <c r="AM130" s="196"/>
      <c r="AN130" s="27"/>
      <c r="AO130" s="67"/>
      <c r="AP130" s="207"/>
      <c r="AQ130" s="158"/>
      <c r="AR130" s="159"/>
      <c r="AS130" s="27"/>
      <c r="AT130" s="67"/>
      <c r="AU130" s="33"/>
    </row>
    <row r="131" spans="1:47" x14ac:dyDescent="0.25">
      <c r="A131" s="2" t="s">
        <v>45</v>
      </c>
      <c r="B131" s="108"/>
      <c r="C131" s="122"/>
      <c r="D131" s="111">
        <v>5680</v>
      </c>
      <c r="E131" s="22" t="s">
        <v>98</v>
      </c>
      <c r="F131" s="67"/>
      <c r="G131" s="108"/>
      <c r="H131" s="122"/>
      <c r="I131" s="111">
        <v>2125</v>
      </c>
      <c r="J131" s="22" t="s">
        <v>98</v>
      </c>
      <c r="K131" s="67"/>
      <c r="L131" s="108"/>
      <c r="M131" s="122"/>
      <c r="N131" s="111">
        <v>5446</v>
      </c>
      <c r="O131" s="22" t="s">
        <v>98</v>
      </c>
      <c r="P131" s="67"/>
      <c r="Q131" s="175"/>
      <c r="R131" s="123"/>
      <c r="S131" s="124"/>
      <c r="T131" s="27"/>
      <c r="U131" s="67"/>
      <c r="V131" s="79"/>
      <c r="W131" s="59"/>
      <c r="X131" s="40"/>
      <c r="Y131" s="27"/>
      <c r="Z131" s="67"/>
      <c r="AA131" s="207"/>
      <c r="AB131" s="195"/>
      <c r="AC131" s="196"/>
      <c r="AD131" s="27"/>
      <c r="AE131" s="67"/>
      <c r="AF131" s="175"/>
      <c r="AG131" s="123"/>
      <c r="AH131" s="124"/>
      <c r="AI131" s="27"/>
      <c r="AJ131" s="67"/>
      <c r="AK131" s="207"/>
      <c r="AL131" s="194"/>
      <c r="AM131" s="196"/>
      <c r="AN131" s="27"/>
      <c r="AO131" s="67"/>
      <c r="AP131" s="207"/>
      <c r="AQ131" s="158"/>
      <c r="AR131" s="159"/>
      <c r="AS131" s="27"/>
      <c r="AT131" s="67"/>
      <c r="AU131" s="33"/>
    </row>
    <row r="132" spans="1:47" x14ac:dyDescent="0.25">
      <c r="A132" s="2" t="s">
        <v>193</v>
      </c>
      <c r="B132" s="108"/>
      <c r="C132" s="122"/>
      <c r="D132" s="111">
        <f>5148+2714</f>
        <v>7862</v>
      </c>
      <c r="E132" s="22" t="s">
        <v>98</v>
      </c>
      <c r="F132" s="67"/>
      <c r="G132" s="108"/>
      <c r="H132" s="122"/>
      <c r="I132" s="111">
        <f>4650+2738</f>
        <v>7388</v>
      </c>
      <c r="J132" s="22" t="s">
        <v>98</v>
      </c>
      <c r="K132" s="67"/>
      <c r="L132" s="108"/>
      <c r="M132" s="122"/>
      <c r="N132" s="111">
        <f>7090+4346</f>
        <v>11436</v>
      </c>
      <c r="O132" s="22" t="s">
        <v>98</v>
      </c>
      <c r="P132" s="67"/>
      <c r="Q132" s="175"/>
      <c r="R132" s="123"/>
      <c r="S132" s="124"/>
      <c r="T132" s="27"/>
      <c r="U132" s="67"/>
      <c r="V132" s="79"/>
      <c r="W132" s="59"/>
      <c r="X132" s="40"/>
      <c r="Y132" s="27"/>
      <c r="Z132" s="67"/>
      <c r="AA132" s="207"/>
      <c r="AB132" s="195"/>
      <c r="AC132" s="196"/>
      <c r="AD132" s="27"/>
      <c r="AE132" s="67"/>
      <c r="AF132" s="175"/>
      <c r="AG132" s="123"/>
      <c r="AH132" s="124"/>
      <c r="AI132" s="27"/>
      <c r="AJ132" s="67"/>
      <c r="AK132" s="207"/>
      <c r="AL132" s="194"/>
      <c r="AM132" s="196"/>
      <c r="AN132" s="27"/>
      <c r="AO132" s="67"/>
      <c r="AP132" s="207"/>
      <c r="AQ132" s="158"/>
      <c r="AR132" s="159"/>
      <c r="AS132" s="27"/>
      <c r="AT132" s="67"/>
      <c r="AU132" s="33"/>
    </row>
    <row r="133" spans="1:47" x14ac:dyDescent="0.25">
      <c r="A133" s="2" t="s">
        <v>146</v>
      </c>
      <c r="B133" s="108"/>
      <c r="C133" s="122"/>
      <c r="D133" s="111">
        <f>444+547+854</f>
        <v>1845</v>
      </c>
      <c r="E133" s="22" t="s">
        <v>99</v>
      </c>
      <c r="F133" s="67"/>
      <c r="G133" s="108"/>
      <c r="H133" s="122"/>
      <c r="I133" s="111">
        <f>534+130+724</f>
        <v>1388</v>
      </c>
      <c r="J133" s="22" t="s">
        <v>99</v>
      </c>
      <c r="K133" s="67"/>
      <c r="L133" s="108"/>
      <c r="M133" s="122"/>
      <c r="N133" s="111">
        <f>475+280+315</f>
        <v>1070</v>
      </c>
      <c r="O133" s="22" t="s">
        <v>99</v>
      </c>
      <c r="P133" s="67"/>
      <c r="Q133" s="175"/>
      <c r="R133" s="123"/>
      <c r="S133" s="124">
        <v>2568</v>
      </c>
      <c r="T133" s="27" t="s">
        <v>147</v>
      </c>
      <c r="U133" s="67"/>
      <c r="V133" s="79"/>
      <c r="W133" s="59"/>
      <c r="X133" s="40">
        <f t="shared" ref="X133" si="20">S133*1.1723</f>
        <v>3010.4663999999998</v>
      </c>
      <c r="Y133" s="27" t="s">
        <v>147</v>
      </c>
      <c r="Z133" s="67"/>
      <c r="AA133" s="207"/>
      <c r="AB133" s="195"/>
      <c r="AC133" s="196">
        <f>S133*1.1525</f>
        <v>2959.6200000000003</v>
      </c>
      <c r="AD133" s="27" t="s">
        <v>147</v>
      </c>
      <c r="AE133" s="67"/>
      <c r="AF133" s="175"/>
      <c r="AG133" s="123"/>
      <c r="AH133" s="124">
        <v>3136</v>
      </c>
      <c r="AI133" s="27" t="s">
        <v>147</v>
      </c>
      <c r="AJ133" s="67"/>
      <c r="AK133" s="207"/>
      <c r="AL133" s="194"/>
      <c r="AM133" s="196">
        <f>AH133*0.791/0.681</f>
        <v>3642.5491923641703</v>
      </c>
      <c r="AN133" s="27" t="s">
        <v>147</v>
      </c>
      <c r="AO133" s="67"/>
      <c r="AP133" s="207"/>
      <c r="AQ133" s="158"/>
      <c r="AR133" s="159">
        <f t="shared" ref="AR133" si="21">AH133*1.23305</f>
        <v>3866.8447999999999</v>
      </c>
      <c r="AS133" s="27" t="s">
        <v>147</v>
      </c>
      <c r="AT133" s="67"/>
      <c r="AU133" s="33"/>
    </row>
    <row r="134" spans="1:47" x14ac:dyDescent="0.25">
      <c r="A134" s="2" t="s">
        <v>103</v>
      </c>
      <c r="B134" s="129"/>
      <c r="C134" s="122"/>
      <c r="D134" s="120">
        <v>54</v>
      </c>
      <c r="E134" s="17" t="s">
        <v>102</v>
      </c>
      <c r="F134" s="67"/>
      <c r="G134" s="129"/>
      <c r="H134" s="122"/>
      <c r="I134" s="120">
        <v>13</v>
      </c>
      <c r="J134" s="17" t="s">
        <v>102</v>
      </c>
      <c r="K134" s="67"/>
      <c r="L134" s="129"/>
      <c r="M134" s="122"/>
      <c r="N134" s="120">
        <v>1785</v>
      </c>
      <c r="O134" s="17" t="s">
        <v>102</v>
      </c>
      <c r="P134" s="67"/>
      <c r="Q134" s="175"/>
      <c r="R134" s="123"/>
      <c r="S134" s="124"/>
      <c r="T134" s="27"/>
      <c r="U134" s="67"/>
      <c r="V134" s="79"/>
      <c r="W134" s="59"/>
      <c r="X134" s="40"/>
      <c r="Y134" s="27"/>
      <c r="Z134" s="67"/>
      <c r="AA134" s="207"/>
      <c r="AB134" s="195"/>
      <c r="AC134" s="196"/>
      <c r="AD134" s="27"/>
      <c r="AE134" s="67"/>
      <c r="AF134" s="175"/>
      <c r="AG134" s="123"/>
      <c r="AH134" s="124"/>
      <c r="AI134" s="27"/>
      <c r="AJ134" s="67"/>
      <c r="AK134" s="207"/>
      <c r="AL134" s="194"/>
      <c r="AM134" s="196"/>
      <c r="AN134" s="27"/>
      <c r="AO134" s="67"/>
      <c r="AP134" s="207"/>
      <c r="AQ134" s="158"/>
      <c r="AR134" s="159"/>
      <c r="AS134" s="27"/>
      <c r="AT134" s="67"/>
      <c r="AU134" s="33"/>
    </row>
    <row r="135" spans="1:47" x14ac:dyDescent="0.25">
      <c r="A135" s="2" t="s">
        <v>24</v>
      </c>
      <c r="B135" s="108"/>
      <c r="C135" s="122"/>
      <c r="D135" s="111">
        <f>5+150+100+24+312+87+10+10+0</f>
        <v>698</v>
      </c>
      <c r="E135" s="22" t="s">
        <v>101</v>
      </c>
      <c r="F135" s="67"/>
      <c r="G135" s="108"/>
      <c r="H135" s="122"/>
      <c r="I135" s="111">
        <f>618+271+57+33+281+353+48</f>
        <v>1661</v>
      </c>
      <c r="J135" s="22" t="s">
        <v>101</v>
      </c>
      <c r="K135" s="67"/>
      <c r="L135" s="108"/>
      <c r="M135" s="122"/>
      <c r="N135" s="111">
        <f>477+187+54+83+408+196+30+55+0</f>
        <v>1490</v>
      </c>
      <c r="O135" s="22" t="s">
        <v>101</v>
      </c>
      <c r="P135" s="67"/>
      <c r="Q135" s="175" t="s">
        <v>49</v>
      </c>
      <c r="R135" s="123"/>
      <c r="S135" s="124"/>
      <c r="T135" s="27"/>
      <c r="U135" s="67"/>
      <c r="V135" s="79"/>
      <c r="W135" s="59"/>
      <c r="X135" s="40"/>
      <c r="Y135" s="27"/>
      <c r="Z135" s="67"/>
      <c r="AA135" s="207"/>
      <c r="AB135" s="195"/>
      <c r="AC135" s="196"/>
      <c r="AD135" s="27"/>
      <c r="AE135" s="67"/>
      <c r="AF135" s="175"/>
      <c r="AG135" s="123"/>
      <c r="AH135" s="124"/>
      <c r="AI135" s="27"/>
      <c r="AJ135" s="67"/>
      <c r="AK135" s="207"/>
      <c r="AL135" s="194"/>
      <c r="AM135" s="196"/>
      <c r="AN135" s="27"/>
      <c r="AO135" s="67"/>
      <c r="AP135" s="207"/>
      <c r="AQ135" s="158"/>
      <c r="AR135" s="159"/>
      <c r="AS135" s="27"/>
      <c r="AT135" s="67"/>
      <c r="AU135" s="33"/>
    </row>
    <row r="136" spans="1:47" x14ac:dyDescent="0.25">
      <c r="A136" s="2" t="s">
        <v>40</v>
      </c>
      <c r="B136" s="108"/>
      <c r="C136" s="122"/>
      <c r="D136" s="111">
        <f>1559+3-120</f>
        <v>1442</v>
      </c>
      <c r="E136" s="22" t="s">
        <v>104</v>
      </c>
      <c r="F136" s="67"/>
      <c r="G136" s="108"/>
      <c r="H136" s="122"/>
      <c r="I136" s="111">
        <f>1661+33</f>
        <v>1694</v>
      </c>
      <c r="J136" s="22" t="s">
        <v>104</v>
      </c>
      <c r="K136" s="67"/>
      <c r="L136" s="108"/>
      <c r="M136" s="122"/>
      <c r="N136" s="111">
        <f>2265-120+1961</f>
        <v>4106</v>
      </c>
      <c r="O136" s="22" t="s">
        <v>104</v>
      </c>
      <c r="P136" s="67"/>
      <c r="Q136" s="175"/>
      <c r="R136" s="123"/>
      <c r="S136" s="124"/>
      <c r="T136" s="27"/>
      <c r="U136" s="67"/>
      <c r="V136" s="79"/>
      <c r="W136" s="59"/>
      <c r="X136" s="40"/>
      <c r="Y136" s="27"/>
      <c r="Z136" s="67"/>
      <c r="AA136" s="207"/>
      <c r="AB136" s="195"/>
      <c r="AC136" s="196"/>
      <c r="AD136" s="27"/>
      <c r="AE136" s="67"/>
      <c r="AF136" s="175"/>
      <c r="AG136" s="123"/>
      <c r="AH136" s="124"/>
      <c r="AI136" s="27"/>
      <c r="AJ136" s="67"/>
      <c r="AK136" s="207"/>
      <c r="AL136" s="194"/>
      <c r="AM136" s="196"/>
      <c r="AN136" s="27"/>
      <c r="AO136" s="67"/>
      <c r="AP136" s="207"/>
      <c r="AQ136" s="158"/>
      <c r="AR136" s="159"/>
      <c r="AS136" s="27"/>
      <c r="AT136" s="67"/>
      <c r="AU136" s="33"/>
    </row>
    <row r="137" spans="1:47" x14ac:dyDescent="0.25">
      <c r="A137" s="2" t="s">
        <v>105</v>
      </c>
      <c r="B137" s="108"/>
      <c r="C137" s="122"/>
      <c r="D137" s="120">
        <v>3</v>
      </c>
      <c r="E137" s="22" t="s">
        <v>137</v>
      </c>
      <c r="F137" s="67"/>
      <c r="G137" s="108"/>
      <c r="H137" s="122"/>
      <c r="I137" s="120">
        <v>571</v>
      </c>
      <c r="J137" s="22" t="s">
        <v>137</v>
      </c>
      <c r="K137" s="67"/>
      <c r="L137" s="108"/>
      <c r="M137" s="122"/>
      <c r="N137" s="120">
        <v>748</v>
      </c>
      <c r="O137" s="22" t="s">
        <v>137</v>
      </c>
      <c r="P137" s="67"/>
      <c r="Q137" s="175"/>
      <c r="R137" s="123"/>
      <c r="S137" s="124"/>
      <c r="T137" s="27"/>
      <c r="U137" s="67"/>
      <c r="V137" s="79"/>
      <c r="W137" s="59"/>
      <c r="X137" s="40"/>
      <c r="Y137" s="27"/>
      <c r="Z137" s="67"/>
      <c r="AA137" s="207"/>
      <c r="AB137" s="195"/>
      <c r="AC137" s="196"/>
      <c r="AD137" s="27"/>
      <c r="AE137" s="67"/>
      <c r="AF137" s="175"/>
      <c r="AG137" s="123"/>
      <c r="AH137" s="124"/>
      <c r="AI137" s="27"/>
      <c r="AJ137" s="67"/>
      <c r="AK137" s="207"/>
      <c r="AL137" s="194"/>
      <c r="AM137" s="196"/>
      <c r="AN137" s="27"/>
      <c r="AO137" s="67"/>
      <c r="AP137" s="207"/>
      <c r="AQ137" s="158"/>
      <c r="AR137" s="159"/>
      <c r="AS137" s="27"/>
      <c r="AT137" s="67"/>
      <c r="AU137" s="33"/>
    </row>
    <row r="138" spans="1:47" x14ac:dyDescent="0.25">
      <c r="A138" s="2" t="s">
        <v>106</v>
      </c>
      <c r="B138" s="108"/>
      <c r="C138" s="122"/>
      <c r="D138" s="120">
        <v>25</v>
      </c>
      <c r="E138" s="22" t="s">
        <v>107</v>
      </c>
      <c r="F138" s="67"/>
      <c r="G138" s="108"/>
      <c r="H138" s="122"/>
      <c r="I138" s="120">
        <v>47</v>
      </c>
      <c r="J138" s="22" t="s">
        <v>107</v>
      </c>
      <c r="K138" s="67"/>
      <c r="L138" s="108"/>
      <c r="M138" s="122"/>
      <c r="N138" s="120">
        <v>842</v>
      </c>
      <c r="O138" s="22" t="s">
        <v>107</v>
      </c>
      <c r="P138" s="67"/>
      <c r="Q138" s="175"/>
      <c r="R138" s="123"/>
      <c r="S138" s="124"/>
      <c r="T138" s="27"/>
      <c r="U138" s="67"/>
      <c r="V138" s="79"/>
      <c r="W138" s="59"/>
      <c r="X138" s="40"/>
      <c r="Y138" s="27"/>
      <c r="Z138" s="67"/>
      <c r="AA138" s="207"/>
      <c r="AB138" s="195"/>
      <c r="AC138" s="196"/>
      <c r="AD138" s="27"/>
      <c r="AE138" s="67"/>
      <c r="AF138" s="175"/>
      <c r="AG138" s="123"/>
      <c r="AH138" s="124"/>
      <c r="AI138" s="27"/>
      <c r="AJ138" s="67"/>
      <c r="AK138" s="207"/>
      <c r="AL138" s="194"/>
      <c r="AM138" s="196"/>
      <c r="AN138" s="27"/>
      <c r="AO138" s="67"/>
      <c r="AP138" s="207"/>
      <c r="AQ138" s="158"/>
      <c r="AR138" s="159"/>
      <c r="AS138" s="27"/>
      <c r="AT138" s="67"/>
      <c r="AU138" s="33"/>
    </row>
    <row r="139" spans="1:47" x14ac:dyDescent="0.25">
      <c r="A139" s="2" t="s">
        <v>108</v>
      </c>
      <c r="B139" s="108"/>
      <c r="C139" s="122"/>
      <c r="D139" s="120">
        <f>535-60</f>
        <v>475</v>
      </c>
      <c r="E139" s="22" t="s">
        <v>109</v>
      </c>
      <c r="F139" s="67"/>
      <c r="G139" s="108"/>
      <c r="H139" s="122"/>
      <c r="I139" s="120">
        <v>339</v>
      </c>
      <c r="J139" s="22" t="s">
        <v>109</v>
      </c>
      <c r="K139" s="67"/>
      <c r="L139" s="108"/>
      <c r="M139" s="122"/>
      <c r="N139" s="120">
        <v>971</v>
      </c>
      <c r="O139" s="22" t="s">
        <v>109</v>
      </c>
      <c r="P139" s="67"/>
      <c r="Q139" s="175"/>
      <c r="R139" s="123"/>
      <c r="S139" s="124"/>
      <c r="T139" s="27"/>
      <c r="U139" s="67"/>
      <c r="V139" s="79"/>
      <c r="W139" s="59"/>
      <c r="X139" s="40"/>
      <c r="Y139" s="27"/>
      <c r="Z139" s="67"/>
      <c r="AA139" s="207"/>
      <c r="AB139" s="195"/>
      <c r="AC139" s="196"/>
      <c r="AD139" s="27"/>
      <c r="AE139" s="67"/>
      <c r="AF139" s="175"/>
      <c r="AG139" s="123"/>
      <c r="AH139" s="124"/>
      <c r="AI139" s="27"/>
      <c r="AJ139" s="67"/>
      <c r="AK139" s="207"/>
      <c r="AL139" s="194"/>
      <c r="AM139" s="196"/>
      <c r="AN139" s="27"/>
      <c r="AO139" s="67"/>
      <c r="AP139" s="207"/>
      <c r="AQ139" s="158"/>
      <c r="AR139" s="159"/>
      <c r="AS139" s="27"/>
      <c r="AT139" s="67"/>
      <c r="AU139" s="33"/>
    </row>
    <row r="140" spans="1:47" x14ac:dyDescent="0.25">
      <c r="A140" s="2" t="s">
        <v>111</v>
      </c>
      <c r="B140" s="108"/>
      <c r="C140" s="122"/>
      <c r="D140" s="120">
        <v>155</v>
      </c>
      <c r="E140" s="22" t="s">
        <v>112</v>
      </c>
      <c r="F140" s="67"/>
      <c r="G140" s="108"/>
      <c r="H140" s="122"/>
      <c r="I140" s="120">
        <v>220</v>
      </c>
      <c r="J140" s="22" t="s">
        <v>112</v>
      </c>
      <c r="K140" s="67"/>
      <c r="L140" s="108"/>
      <c r="M140" s="122"/>
      <c r="N140" s="120">
        <v>700</v>
      </c>
      <c r="O140" s="22" t="s">
        <v>112</v>
      </c>
      <c r="P140" s="67"/>
      <c r="Q140" s="175"/>
      <c r="R140" s="123"/>
      <c r="S140" s="124"/>
      <c r="T140" s="27"/>
      <c r="U140" s="67"/>
      <c r="V140" s="79"/>
      <c r="W140" s="59"/>
      <c r="X140" s="40"/>
      <c r="Y140" s="27"/>
      <c r="Z140" s="67"/>
      <c r="AA140" s="207"/>
      <c r="AB140" s="195"/>
      <c r="AC140" s="196"/>
      <c r="AD140" s="27"/>
      <c r="AE140" s="67"/>
      <c r="AF140" s="175"/>
      <c r="AG140" s="123"/>
      <c r="AH140" s="124"/>
      <c r="AI140" s="27"/>
      <c r="AJ140" s="67"/>
      <c r="AK140" s="207"/>
      <c r="AL140" s="194"/>
      <c r="AM140" s="196"/>
      <c r="AN140" s="27"/>
      <c r="AO140" s="67"/>
      <c r="AP140" s="207"/>
      <c r="AQ140" s="158"/>
      <c r="AR140" s="159"/>
      <c r="AS140" s="27"/>
      <c r="AT140" s="67"/>
      <c r="AU140" s="33"/>
    </row>
    <row r="141" spans="1:47" x14ac:dyDescent="0.25">
      <c r="A141" s="2" t="s">
        <v>113</v>
      </c>
      <c r="B141" s="108"/>
      <c r="C141" s="122"/>
      <c r="D141" s="120">
        <v>0</v>
      </c>
      <c r="E141" s="22" t="s">
        <v>114</v>
      </c>
      <c r="F141" s="67"/>
      <c r="G141" s="108"/>
      <c r="H141" s="122"/>
      <c r="I141" s="120">
        <v>0</v>
      </c>
      <c r="J141" s="22" t="s">
        <v>114</v>
      </c>
      <c r="K141" s="67"/>
      <c r="L141" s="108"/>
      <c r="M141" s="122"/>
      <c r="N141" s="120">
        <v>13355</v>
      </c>
      <c r="O141" s="22" t="s">
        <v>114</v>
      </c>
      <c r="P141" s="67"/>
      <c r="Q141" s="175"/>
      <c r="R141" s="123"/>
      <c r="S141" s="124"/>
      <c r="T141" s="27"/>
      <c r="U141" s="67"/>
      <c r="V141" s="79"/>
      <c r="W141" s="59"/>
      <c r="X141" s="40"/>
      <c r="Y141" s="27"/>
      <c r="Z141" s="67"/>
      <c r="AA141" s="207"/>
      <c r="AB141" s="195"/>
      <c r="AC141" s="196"/>
      <c r="AD141" s="27"/>
      <c r="AE141" s="67"/>
      <c r="AF141" s="175"/>
      <c r="AG141" s="123"/>
      <c r="AH141" s="124"/>
      <c r="AI141" s="27"/>
      <c r="AJ141" s="67"/>
      <c r="AK141" s="207"/>
      <c r="AL141" s="194"/>
      <c r="AM141" s="196"/>
      <c r="AN141" s="27"/>
      <c r="AO141" s="67"/>
      <c r="AP141" s="207"/>
      <c r="AQ141" s="158"/>
      <c r="AR141" s="159"/>
      <c r="AS141" s="27"/>
      <c r="AT141" s="67"/>
      <c r="AU141" s="33"/>
    </row>
    <row r="142" spans="1:47" x14ac:dyDescent="0.25">
      <c r="A142" s="2" t="s">
        <v>139</v>
      </c>
      <c r="B142" s="108"/>
      <c r="C142" s="110"/>
      <c r="D142" s="111"/>
      <c r="E142" s="22"/>
      <c r="F142" s="67"/>
      <c r="G142" s="108"/>
      <c r="H142" s="110"/>
      <c r="I142" s="111"/>
      <c r="J142" s="22"/>
      <c r="K142" s="67"/>
      <c r="L142" s="108"/>
      <c r="M142" s="110"/>
      <c r="N142" s="111"/>
      <c r="O142" s="22"/>
      <c r="P142" s="67"/>
      <c r="Q142" s="175"/>
      <c r="R142" s="122"/>
      <c r="S142" s="124">
        <v>21726</v>
      </c>
      <c r="T142" s="27" t="s">
        <v>54</v>
      </c>
      <c r="U142" s="67"/>
      <c r="V142" s="79"/>
      <c r="W142" s="59"/>
      <c r="X142" s="40">
        <f t="shared" ref="X142:X151" si="22">S142*1.1723</f>
        <v>25469.389799999997</v>
      </c>
      <c r="Y142" s="27" t="s">
        <v>54</v>
      </c>
      <c r="Z142" s="67"/>
      <c r="AA142" s="207"/>
      <c r="AB142" s="195"/>
      <c r="AC142" s="196">
        <f t="shared" ref="AC142:AC151" si="23">S142*1.1525</f>
        <v>25039.215</v>
      </c>
      <c r="AD142" s="27" t="s">
        <v>54</v>
      </c>
      <c r="AE142" s="67"/>
      <c r="AF142" s="175"/>
      <c r="AG142" s="122"/>
      <c r="AH142" s="124">
        <v>24750</v>
      </c>
      <c r="AI142" s="27" t="s">
        <v>54</v>
      </c>
      <c r="AJ142" s="67"/>
      <c r="AK142" s="207"/>
      <c r="AL142" s="194"/>
      <c r="AM142" s="196">
        <f t="shared" ref="AM142:AM151" si="24">AH142*0.791/0.681</f>
        <v>28747.797356828192</v>
      </c>
      <c r="AN142" s="27" t="s">
        <v>54</v>
      </c>
      <c r="AO142" s="67"/>
      <c r="AP142" s="207"/>
      <c r="AQ142" s="158"/>
      <c r="AR142" s="159">
        <f t="shared" ref="AR142:AR151" si="25">AH142*1.23305</f>
        <v>30517.987499999999</v>
      </c>
      <c r="AS142" s="27" t="s">
        <v>54</v>
      </c>
      <c r="AT142" s="67"/>
      <c r="AU142" s="33"/>
    </row>
    <row r="143" spans="1:47" x14ac:dyDescent="0.25">
      <c r="A143" s="2" t="s">
        <v>141</v>
      </c>
      <c r="B143" s="108"/>
      <c r="C143" s="110"/>
      <c r="D143" s="111"/>
      <c r="E143" s="22"/>
      <c r="F143" s="67"/>
      <c r="G143" s="108"/>
      <c r="H143" s="110"/>
      <c r="I143" s="111"/>
      <c r="J143" s="22"/>
      <c r="K143" s="67"/>
      <c r="L143" s="108"/>
      <c r="M143" s="110"/>
      <c r="N143" s="111"/>
      <c r="O143" s="22"/>
      <c r="P143" s="67"/>
      <c r="Q143" s="175"/>
      <c r="R143" s="122"/>
      <c r="S143" s="124">
        <v>24543</v>
      </c>
      <c r="T143" s="27" t="s">
        <v>54</v>
      </c>
      <c r="U143" s="67"/>
      <c r="V143" s="79"/>
      <c r="W143" s="59"/>
      <c r="X143" s="40">
        <f t="shared" si="22"/>
        <v>28771.758899999997</v>
      </c>
      <c r="Y143" s="27" t="s">
        <v>54</v>
      </c>
      <c r="Z143" s="67"/>
      <c r="AA143" s="207"/>
      <c r="AB143" s="195"/>
      <c r="AC143" s="196">
        <f t="shared" si="23"/>
        <v>28285.807500000003</v>
      </c>
      <c r="AD143" s="27" t="s">
        <v>54</v>
      </c>
      <c r="AE143" s="67"/>
      <c r="AF143" s="175"/>
      <c r="AG143" s="122"/>
      <c r="AH143" s="124">
        <v>26814</v>
      </c>
      <c r="AI143" s="27" t="s">
        <v>54</v>
      </c>
      <c r="AJ143" s="67"/>
      <c r="AK143" s="207"/>
      <c r="AL143" s="194"/>
      <c r="AM143" s="196">
        <f t="shared" si="24"/>
        <v>31145.189427312773</v>
      </c>
      <c r="AN143" s="27" t="s">
        <v>54</v>
      </c>
      <c r="AO143" s="67"/>
      <c r="AP143" s="207"/>
      <c r="AQ143" s="158"/>
      <c r="AR143" s="159">
        <f t="shared" si="25"/>
        <v>33063.002699999997</v>
      </c>
      <c r="AS143" s="27" t="s">
        <v>54</v>
      </c>
      <c r="AT143" s="67"/>
      <c r="AU143" s="33"/>
    </row>
    <row r="144" spans="1:47" x14ac:dyDescent="0.25">
      <c r="A144" s="2" t="s">
        <v>140</v>
      </c>
      <c r="B144" s="108"/>
      <c r="C144" s="110"/>
      <c r="D144" s="111"/>
      <c r="E144" s="22"/>
      <c r="F144" s="67"/>
      <c r="G144" s="108"/>
      <c r="H144" s="110"/>
      <c r="I144" s="111"/>
      <c r="J144" s="22"/>
      <c r="K144" s="67"/>
      <c r="L144" s="108"/>
      <c r="M144" s="110"/>
      <c r="N144" s="111"/>
      <c r="O144" s="22"/>
      <c r="P144" s="67"/>
      <c r="Q144" s="175"/>
      <c r="R144" s="122"/>
      <c r="S144" s="124">
        <v>7576</v>
      </c>
      <c r="T144" s="27" t="s">
        <v>54</v>
      </c>
      <c r="U144" s="67"/>
      <c r="V144" s="79"/>
      <c r="W144" s="59"/>
      <c r="X144" s="40">
        <f t="shared" si="22"/>
        <v>8881.3447999999989</v>
      </c>
      <c r="Y144" s="27" t="s">
        <v>54</v>
      </c>
      <c r="Z144" s="67"/>
      <c r="AA144" s="207"/>
      <c r="AB144" s="195"/>
      <c r="AC144" s="196">
        <f t="shared" si="23"/>
        <v>8731.34</v>
      </c>
      <c r="AD144" s="27" t="s">
        <v>54</v>
      </c>
      <c r="AE144" s="67"/>
      <c r="AF144" s="175"/>
      <c r="AG144" s="122"/>
      <c r="AH144" s="124">
        <v>7161</v>
      </c>
      <c r="AI144" s="27" t="s">
        <v>54</v>
      </c>
      <c r="AJ144" s="67"/>
      <c r="AK144" s="207"/>
      <c r="AL144" s="194"/>
      <c r="AM144" s="196">
        <f t="shared" si="24"/>
        <v>8317.6960352422902</v>
      </c>
      <c r="AN144" s="27" t="s">
        <v>54</v>
      </c>
      <c r="AO144" s="67"/>
      <c r="AP144" s="207"/>
      <c r="AQ144" s="158"/>
      <c r="AR144" s="159">
        <f t="shared" si="25"/>
        <v>8829.8710499999997</v>
      </c>
      <c r="AS144" s="27" t="s">
        <v>54</v>
      </c>
      <c r="AT144" s="67"/>
      <c r="AU144" s="33"/>
    </row>
    <row r="145" spans="1:47" x14ac:dyDescent="0.25">
      <c r="A145" s="2" t="s">
        <v>142</v>
      </c>
      <c r="B145" s="108"/>
      <c r="C145" s="110"/>
      <c r="D145" s="111"/>
      <c r="E145" s="22"/>
      <c r="F145" s="67"/>
      <c r="G145" s="108"/>
      <c r="H145" s="110"/>
      <c r="I145" s="111"/>
      <c r="J145" s="22"/>
      <c r="K145" s="67"/>
      <c r="L145" s="108"/>
      <c r="M145" s="110"/>
      <c r="N145" s="111"/>
      <c r="O145" s="22"/>
      <c r="P145" s="67"/>
      <c r="Q145" s="175"/>
      <c r="R145" s="122"/>
      <c r="S145" s="124">
        <v>6040</v>
      </c>
      <c r="T145" s="27" t="s">
        <v>54</v>
      </c>
      <c r="U145" s="67"/>
      <c r="V145" s="79"/>
      <c r="W145" s="59"/>
      <c r="X145" s="40">
        <f t="shared" si="22"/>
        <v>7080.6919999999991</v>
      </c>
      <c r="Y145" s="27" t="s">
        <v>54</v>
      </c>
      <c r="Z145" s="67"/>
      <c r="AA145" s="207"/>
      <c r="AB145" s="195"/>
      <c r="AC145" s="196">
        <f t="shared" si="23"/>
        <v>6961.1</v>
      </c>
      <c r="AD145" s="27" t="s">
        <v>54</v>
      </c>
      <c r="AE145" s="67"/>
      <c r="AF145" s="175"/>
      <c r="AG145" s="122"/>
      <c r="AH145" s="124">
        <v>3794</v>
      </c>
      <c r="AI145" s="27" t="s">
        <v>54</v>
      </c>
      <c r="AJ145" s="67"/>
      <c r="AK145" s="207"/>
      <c r="AL145" s="194"/>
      <c r="AM145" s="196">
        <f t="shared" si="24"/>
        <v>4406.8340675477239</v>
      </c>
      <c r="AN145" s="27" t="s">
        <v>54</v>
      </c>
      <c r="AO145" s="67"/>
      <c r="AP145" s="207"/>
      <c r="AQ145" s="158"/>
      <c r="AR145" s="159">
        <f t="shared" si="25"/>
        <v>4678.1917000000003</v>
      </c>
      <c r="AS145" s="27" t="s">
        <v>54</v>
      </c>
      <c r="AT145" s="67"/>
      <c r="AU145" s="33"/>
    </row>
    <row r="146" spans="1:47" x14ac:dyDescent="0.25">
      <c r="A146" s="2" t="s">
        <v>143</v>
      </c>
      <c r="B146" s="108"/>
      <c r="C146" s="110"/>
      <c r="D146" s="111"/>
      <c r="E146" s="22"/>
      <c r="F146" s="67"/>
      <c r="G146" s="108"/>
      <c r="H146" s="110"/>
      <c r="I146" s="111"/>
      <c r="J146" s="22"/>
      <c r="K146" s="67"/>
      <c r="L146" s="108"/>
      <c r="M146" s="110"/>
      <c r="N146" s="111"/>
      <c r="O146" s="22"/>
      <c r="P146" s="67"/>
      <c r="Q146" s="175"/>
      <c r="R146" s="122"/>
      <c r="S146" s="124">
        <v>3965</v>
      </c>
      <c r="T146" s="27" t="s">
        <v>54</v>
      </c>
      <c r="U146" s="67"/>
      <c r="V146" s="79"/>
      <c r="W146" s="59"/>
      <c r="X146" s="40">
        <f t="shared" si="22"/>
        <v>4648.1695</v>
      </c>
      <c r="Y146" s="27" t="s">
        <v>54</v>
      </c>
      <c r="Z146" s="67"/>
      <c r="AA146" s="207"/>
      <c r="AB146" s="195"/>
      <c r="AC146" s="196">
        <f t="shared" si="23"/>
        <v>4569.6625000000004</v>
      </c>
      <c r="AD146" s="27" t="s">
        <v>54</v>
      </c>
      <c r="AE146" s="67"/>
      <c r="AF146" s="175"/>
      <c r="AG146" s="122"/>
      <c r="AH146" s="124">
        <v>3851</v>
      </c>
      <c r="AI146" s="27" t="s">
        <v>54</v>
      </c>
      <c r="AJ146" s="67"/>
      <c r="AK146" s="207"/>
      <c r="AL146" s="194"/>
      <c r="AM146" s="196">
        <f t="shared" si="24"/>
        <v>4473.0411160058738</v>
      </c>
      <c r="AN146" s="27" t="s">
        <v>54</v>
      </c>
      <c r="AO146" s="67"/>
      <c r="AP146" s="207"/>
      <c r="AQ146" s="158"/>
      <c r="AR146" s="159">
        <f t="shared" si="25"/>
        <v>4748.4755500000001</v>
      </c>
      <c r="AS146" s="27" t="s">
        <v>54</v>
      </c>
      <c r="AT146" s="67"/>
      <c r="AU146" s="33"/>
    </row>
    <row r="147" spans="1:47" x14ac:dyDescent="0.25">
      <c r="A147" s="2" t="s">
        <v>144</v>
      </c>
      <c r="B147" s="108"/>
      <c r="C147" s="110"/>
      <c r="D147" s="111"/>
      <c r="E147" s="22"/>
      <c r="F147" s="67"/>
      <c r="G147" s="108"/>
      <c r="H147" s="110"/>
      <c r="I147" s="111"/>
      <c r="J147" s="22"/>
      <c r="K147" s="67"/>
      <c r="L147" s="108"/>
      <c r="M147" s="110"/>
      <c r="N147" s="111"/>
      <c r="O147" s="22"/>
      <c r="P147" s="67"/>
      <c r="Q147" s="175"/>
      <c r="R147" s="122"/>
      <c r="S147" s="124">
        <v>2855</v>
      </c>
      <c r="T147" s="27" t="s">
        <v>54</v>
      </c>
      <c r="U147" s="67"/>
      <c r="V147" s="79"/>
      <c r="W147" s="59"/>
      <c r="X147" s="40">
        <f t="shared" si="22"/>
        <v>3346.9164999999998</v>
      </c>
      <c r="Y147" s="27" t="s">
        <v>54</v>
      </c>
      <c r="Z147" s="67"/>
      <c r="AA147" s="207"/>
      <c r="AB147" s="195"/>
      <c r="AC147" s="196">
        <f t="shared" si="23"/>
        <v>3290.3875000000003</v>
      </c>
      <c r="AD147" s="27" t="s">
        <v>54</v>
      </c>
      <c r="AE147" s="67"/>
      <c r="AF147" s="175"/>
      <c r="AG147" s="122"/>
      <c r="AH147" s="124">
        <v>2463</v>
      </c>
      <c r="AI147" s="27" t="s">
        <v>54</v>
      </c>
      <c r="AJ147" s="67"/>
      <c r="AK147" s="207"/>
      <c r="AL147" s="194"/>
      <c r="AM147" s="196">
        <f t="shared" si="24"/>
        <v>2860.8414096916299</v>
      </c>
      <c r="AN147" s="27" t="s">
        <v>54</v>
      </c>
      <c r="AO147" s="67"/>
      <c r="AP147" s="207"/>
      <c r="AQ147" s="158"/>
      <c r="AR147" s="159">
        <f t="shared" si="25"/>
        <v>3037.0021499999998</v>
      </c>
      <c r="AS147" s="27" t="s">
        <v>54</v>
      </c>
      <c r="AT147" s="67"/>
      <c r="AU147" s="33"/>
    </row>
    <row r="148" spans="1:47" x14ac:dyDescent="0.25">
      <c r="A148" s="2" t="s">
        <v>145</v>
      </c>
      <c r="B148" s="108"/>
      <c r="C148" s="110"/>
      <c r="D148" s="111"/>
      <c r="E148" s="22"/>
      <c r="F148" s="67"/>
      <c r="G148" s="108"/>
      <c r="H148" s="110"/>
      <c r="I148" s="111"/>
      <c r="J148" s="22"/>
      <c r="K148" s="67"/>
      <c r="L148" s="108"/>
      <c r="M148" s="110"/>
      <c r="N148" s="111"/>
      <c r="O148" s="22"/>
      <c r="P148" s="67"/>
      <c r="Q148" s="175"/>
      <c r="R148" s="122"/>
      <c r="S148" s="124">
        <v>13209</v>
      </c>
      <c r="T148" s="27" t="s">
        <v>54</v>
      </c>
      <c r="U148" s="67"/>
      <c r="V148" s="79"/>
      <c r="W148" s="59"/>
      <c r="X148" s="40">
        <f t="shared" si="22"/>
        <v>15484.910699999999</v>
      </c>
      <c r="Y148" s="27" t="s">
        <v>54</v>
      </c>
      <c r="Z148" s="67"/>
      <c r="AA148" s="207"/>
      <c r="AB148" s="195"/>
      <c r="AC148" s="196">
        <f t="shared" si="23"/>
        <v>15223.372500000001</v>
      </c>
      <c r="AD148" s="27" t="s">
        <v>54</v>
      </c>
      <c r="AE148" s="67"/>
      <c r="AF148" s="175"/>
      <c r="AG148" s="122"/>
      <c r="AH148" s="124">
        <v>10371</v>
      </c>
      <c r="AI148" s="27" t="s">
        <v>54</v>
      </c>
      <c r="AJ148" s="67"/>
      <c r="AK148" s="207"/>
      <c r="AL148" s="194"/>
      <c r="AM148" s="196">
        <f t="shared" si="24"/>
        <v>12046.198237885463</v>
      </c>
      <c r="AN148" s="27" t="s">
        <v>54</v>
      </c>
      <c r="AO148" s="67"/>
      <c r="AP148" s="207"/>
      <c r="AQ148" s="158"/>
      <c r="AR148" s="159">
        <f t="shared" si="25"/>
        <v>12787.96155</v>
      </c>
      <c r="AS148" s="27" t="s">
        <v>54</v>
      </c>
      <c r="AT148" s="67"/>
      <c r="AU148" s="33"/>
    </row>
    <row r="149" spans="1:47" x14ac:dyDescent="0.25">
      <c r="A149" s="2" t="s">
        <v>58</v>
      </c>
      <c r="B149" s="108"/>
      <c r="C149" s="110"/>
      <c r="D149" s="111"/>
      <c r="E149" s="22"/>
      <c r="F149" s="67"/>
      <c r="G149" s="108"/>
      <c r="H149" s="110"/>
      <c r="I149" s="111"/>
      <c r="J149" s="22"/>
      <c r="K149" s="67"/>
      <c r="L149" s="108"/>
      <c r="M149" s="110"/>
      <c r="N149" s="111"/>
      <c r="O149" s="22"/>
      <c r="P149" s="67"/>
      <c r="Q149" s="175"/>
      <c r="R149" s="122"/>
      <c r="S149" s="124">
        <v>393</v>
      </c>
      <c r="T149" s="27" t="s">
        <v>56</v>
      </c>
      <c r="U149" s="67"/>
      <c r="V149" s="79"/>
      <c r="W149" s="59"/>
      <c r="X149" s="40">
        <f t="shared" si="22"/>
        <v>460.71389999999997</v>
      </c>
      <c r="Y149" s="27" t="s">
        <v>56</v>
      </c>
      <c r="Z149" s="67"/>
      <c r="AA149" s="207"/>
      <c r="AB149" s="195"/>
      <c r="AC149" s="196">
        <f t="shared" si="23"/>
        <v>452.9325</v>
      </c>
      <c r="AD149" s="27" t="s">
        <v>56</v>
      </c>
      <c r="AE149" s="67"/>
      <c r="AF149" s="175"/>
      <c r="AG149" s="122"/>
      <c r="AH149" s="124">
        <v>309</v>
      </c>
      <c r="AI149" s="27" t="s">
        <v>56</v>
      </c>
      <c r="AJ149" s="67"/>
      <c r="AK149" s="207"/>
      <c r="AL149" s="194"/>
      <c r="AM149" s="196">
        <f t="shared" si="24"/>
        <v>358.91189427312776</v>
      </c>
      <c r="AN149" s="27" t="s">
        <v>56</v>
      </c>
      <c r="AO149" s="67"/>
      <c r="AP149" s="207"/>
      <c r="AQ149" s="158"/>
      <c r="AR149" s="159">
        <f t="shared" si="25"/>
        <v>381.01245</v>
      </c>
      <c r="AS149" s="27" t="s">
        <v>56</v>
      </c>
      <c r="AT149" s="67"/>
      <c r="AU149" s="33"/>
    </row>
    <row r="150" spans="1:47" x14ac:dyDescent="0.25">
      <c r="A150" s="2" t="s">
        <v>59</v>
      </c>
      <c r="B150" s="108"/>
      <c r="C150" s="110"/>
      <c r="D150" s="111"/>
      <c r="E150" s="22"/>
      <c r="F150" s="67"/>
      <c r="G150" s="108"/>
      <c r="H150" s="110"/>
      <c r="I150" s="111"/>
      <c r="J150" s="22"/>
      <c r="K150" s="67"/>
      <c r="L150" s="108"/>
      <c r="M150" s="110"/>
      <c r="N150" s="111"/>
      <c r="O150" s="22"/>
      <c r="P150" s="67"/>
      <c r="Q150" s="175"/>
      <c r="R150" s="122"/>
      <c r="S150" s="124">
        <v>207</v>
      </c>
      <c r="T150" s="27" t="s">
        <v>56</v>
      </c>
      <c r="U150" s="67"/>
      <c r="V150" s="79"/>
      <c r="W150" s="59"/>
      <c r="X150" s="40">
        <f t="shared" si="22"/>
        <v>242.66609999999997</v>
      </c>
      <c r="Y150" s="27" t="s">
        <v>56</v>
      </c>
      <c r="Z150" s="67"/>
      <c r="AA150" s="207"/>
      <c r="AB150" s="195"/>
      <c r="AC150" s="196">
        <f t="shared" si="23"/>
        <v>238.56750000000002</v>
      </c>
      <c r="AD150" s="27" t="s">
        <v>56</v>
      </c>
      <c r="AE150" s="67"/>
      <c r="AF150" s="175"/>
      <c r="AG150" s="122"/>
      <c r="AH150" s="124">
        <v>206</v>
      </c>
      <c r="AI150" s="27" t="s">
        <v>56</v>
      </c>
      <c r="AJ150" s="67"/>
      <c r="AK150" s="207"/>
      <c r="AL150" s="194"/>
      <c r="AM150" s="196">
        <f t="shared" si="24"/>
        <v>239.27459618208516</v>
      </c>
      <c r="AN150" s="27" t="s">
        <v>56</v>
      </c>
      <c r="AO150" s="67"/>
      <c r="AP150" s="207"/>
      <c r="AQ150" s="158"/>
      <c r="AR150" s="159">
        <f t="shared" si="25"/>
        <v>254.00829999999999</v>
      </c>
      <c r="AS150" s="27" t="s">
        <v>56</v>
      </c>
      <c r="AT150" s="67"/>
      <c r="AU150" s="33"/>
    </row>
    <row r="151" spans="1:47" x14ac:dyDescent="0.25">
      <c r="A151" s="2" t="s">
        <v>60</v>
      </c>
      <c r="B151" s="108"/>
      <c r="C151" s="110"/>
      <c r="D151" s="111"/>
      <c r="E151" s="22"/>
      <c r="F151" s="67"/>
      <c r="G151" s="108"/>
      <c r="H151" s="110"/>
      <c r="I151" s="111"/>
      <c r="J151" s="22"/>
      <c r="K151" s="67"/>
      <c r="L151" s="108"/>
      <c r="M151" s="110"/>
      <c r="N151" s="111"/>
      <c r="O151" s="22"/>
      <c r="P151" s="67"/>
      <c r="Q151" s="175"/>
      <c r="R151" s="122"/>
      <c r="S151" s="124">
        <v>152</v>
      </c>
      <c r="T151" s="27" t="s">
        <v>56</v>
      </c>
      <c r="U151" s="67"/>
      <c r="V151" s="79"/>
      <c r="W151" s="59"/>
      <c r="X151" s="40">
        <f t="shared" si="22"/>
        <v>178.18959999999998</v>
      </c>
      <c r="Y151" s="27" t="s">
        <v>56</v>
      </c>
      <c r="Z151" s="67"/>
      <c r="AA151" s="207"/>
      <c r="AB151" s="195"/>
      <c r="AC151" s="196">
        <f t="shared" si="23"/>
        <v>175.18</v>
      </c>
      <c r="AD151" s="27" t="s">
        <v>56</v>
      </c>
      <c r="AE151" s="67"/>
      <c r="AF151" s="175"/>
      <c r="AG151" s="122"/>
      <c r="AH151" s="124">
        <v>154</v>
      </c>
      <c r="AI151" s="27" t="s">
        <v>56</v>
      </c>
      <c r="AJ151" s="67"/>
      <c r="AK151" s="207"/>
      <c r="AL151" s="194"/>
      <c r="AM151" s="196">
        <f t="shared" si="24"/>
        <v>178.87518355359765</v>
      </c>
      <c r="AN151" s="27" t="s">
        <v>56</v>
      </c>
      <c r="AO151" s="67"/>
      <c r="AP151" s="207"/>
      <c r="AQ151" s="158"/>
      <c r="AR151" s="159">
        <f t="shared" si="25"/>
        <v>189.8897</v>
      </c>
      <c r="AS151" s="27" t="s">
        <v>56</v>
      </c>
      <c r="AT151" s="67"/>
      <c r="AU151" s="33"/>
    </row>
    <row r="152" spans="1:47" x14ac:dyDescent="0.25">
      <c r="B152" s="121"/>
      <c r="C152" s="122"/>
      <c r="D152" s="122"/>
      <c r="F152" s="2"/>
      <c r="G152" s="121"/>
      <c r="H152" s="122"/>
      <c r="I152" s="122"/>
      <c r="K152" s="2"/>
      <c r="L152" s="121"/>
      <c r="M152" s="122"/>
      <c r="N152" s="122"/>
      <c r="P152" s="2"/>
      <c r="Q152" s="121"/>
      <c r="R152" s="122"/>
      <c r="S152" s="122"/>
      <c r="U152" s="2"/>
      <c r="V152" s="68"/>
      <c r="W152" s="11"/>
      <c r="X152" s="11"/>
      <c r="Z152" s="2"/>
      <c r="AA152" s="121"/>
      <c r="AB152" s="122"/>
      <c r="AC152" s="122"/>
      <c r="AD152" s="28"/>
      <c r="AE152" s="67"/>
      <c r="AF152" s="121"/>
      <c r="AG152" s="122"/>
      <c r="AH152" s="122"/>
      <c r="AJ152" s="2"/>
      <c r="AK152" s="156"/>
      <c r="AL152" s="194"/>
      <c r="AM152" s="196"/>
      <c r="AO152" s="2"/>
      <c r="AP152" s="206"/>
      <c r="AQ152" s="158"/>
      <c r="AR152" s="159"/>
      <c r="AT152" s="2"/>
      <c r="AU152" s="33"/>
    </row>
    <row r="153" spans="1:47" x14ac:dyDescent="0.25">
      <c r="B153" s="121"/>
      <c r="C153" s="122"/>
      <c r="D153" s="122"/>
      <c r="E153" s="23"/>
      <c r="F153" s="67"/>
      <c r="G153" s="121"/>
      <c r="H153" s="122"/>
      <c r="I153" s="122"/>
      <c r="J153" s="23"/>
      <c r="K153" s="67"/>
      <c r="L153" s="121"/>
      <c r="M153" s="122"/>
      <c r="N153" s="122"/>
      <c r="O153" s="23"/>
      <c r="P153" s="67"/>
      <c r="Q153" s="121"/>
      <c r="R153" s="122"/>
      <c r="S153" s="122"/>
      <c r="T153" s="23"/>
      <c r="U153" s="67"/>
      <c r="V153" s="80"/>
      <c r="W153" s="11"/>
      <c r="X153" s="41"/>
      <c r="Y153" s="23"/>
      <c r="Z153" s="67"/>
      <c r="AA153" s="121"/>
      <c r="AB153" s="203"/>
      <c r="AC153" s="204"/>
      <c r="AD153" s="23"/>
      <c r="AE153" s="67"/>
      <c r="AF153" s="121"/>
      <c r="AG153" s="122"/>
      <c r="AH153" s="122"/>
      <c r="AI153" s="23"/>
      <c r="AJ153" s="67"/>
      <c r="AK153" s="156"/>
      <c r="AL153" s="194"/>
      <c r="AM153" s="196"/>
      <c r="AN153" s="23"/>
      <c r="AO153" s="67"/>
      <c r="AP153" s="206"/>
      <c r="AQ153" s="158"/>
      <c r="AR153" s="159"/>
      <c r="AS153" s="23"/>
      <c r="AT153" s="67"/>
      <c r="AU153" s="33"/>
    </row>
    <row r="154" spans="1:47" x14ac:dyDescent="0.25">
      <c r="B154" s="121"/>
      <c r="C154" s="122"/>
      <c r="D154" s="122"/>
      <c r="E154" s="23"/>
      <c r="F154" s="67"/>
      <c r="G154" s="121"/>
      <c r="H154" s="122"/>
      <c r="I154" s="122"/>
      <c r="J154" s="23"/>
      <c r="K154" s="67"/>
      <c r="L154" s="121"/>
      <c r="M154" s="122"/>
      <c r="N154" s="122"/>
      <c r="O154" s="23"/>
      <c r="P154" s="67"/>
      <c r="Q154" s="121"/>
      <c r="R154" s="122"/>
      <c r="S154" s="122"/>
      <c r="T154" s="23"/>
      <c r="U154" s="67"/>
      <c r="V154" s="80"/>
      <c r="W154" s="11"/>
      <c r="X154" s="41"/>
      <c r="Y154" s="23"/>
      <c r="Z154" s="67"/>
      <c r="AA154" s="121"/>
      <c r="AB154" s="203"/>
      <c r="AC154" s="204"/>
      <c r="AD154" s="23"/>
      <c r="AE154" s="67"/>
      <c r="AF154" s="121"/>
      <c r="AG154" s="122"/>
      <c r="AH154" s="122"/>
      <c r="AI154" s="23"/>
      <c r="AJ154" s="67"/>
      <c r="AK154" s="156"/>
      <c r="AL154" s="194"/>
      <c r="AM154" s="196"/>
      <c r="AO154" s="2"/>
      <c r="AP154" s="206"/>
      <c r="AQ154" s="158"/>
      <c r="AR154" s="159"/>
      <c r="AS154" s="23"/>
      <c r="AT154" s="67"/>
      <c r="AU154" s="33"/>
    </row>
    <row r="155" spans="1:47" x14ac:dyDescent="0.25">
      <c r="A155" s="1" t="s">
        <v>31</v>
      </c>
      <c r="B155" s="108"/>
      <c r="C155" s="110">
        <f>SUM(D156:D162)</f>
        <v>12474</v>
      </c>
      <c r="D155" s="111"/>
      <c r="E155" s="27" t="s">
        <v>89</v>
      </c>
      <c r="F155" s="67"/>
      <c r="G155" s="108"/>
      <c r="H155" s="110">
        <f>SUM(I156:I162)</f>
        <v>11455</v>
      </c>
      <c r="I155" s="111"/>
      <c r="J155" s="27" t="s">
        <v>89</v>
      </c>
      <c r="K155" s="67"/>
      <c r="L155" s="108"/>
      <c r="M155" s="110">
        <f>SUM(N156:N162)</f>
        <v>13703</v>
      </c>
      <c r="N155" s="111"/>
      <c r="O155" s="27" t="s">
        <v>89</v>
      </c>
      <c r="P155" s="67"/>
      <c r="Q155" s="121"/>
      <c r="R155" s="122"/>
      <c r="S155" s="122"/>
      <c r="T155" s="23"/>
      <c r="U155" s="67"/>
      <c r="V155" s="80"/>
      <c r="W155" s="11"/>
      <c r="X155" s="41"/>
      <c r="Y155" s="23"/>
      <c r="Z155" s="67"/>
      <c r="AA155" s="121"/>
      <c r="AB155" s="203"/>
      <c r="AC155" s="204"/>
      <c r="AD155" s="23"/>
      <c r="AE155" s="67"/>
      <c r="AF155" s="121"/>
      <c r="AG155" s="122"/>
      <c r="AH155" s="122"/>
      <c r="AI155" s="23"/>
      <c r="AJ155" s="67"/>
      <c r="AK155" s="156"/>
      <c r="AL155" s="194"/>
      <c r="AM155" s="196"/>
      <c r="AO155" s="2"/>
      <c r="AP155" s="206"/>
      <c r="AQ155" s="158"/>
      <c r="AR155" s="159"/>
      <c r="AS155" s="23"/>
      <c r="AT155" s="67"/>
      <c r="AU155" s="33"/>
    </row>
    <row r="156" spans="1:47" x14ac:dyDescent="0.25">
      <c r="A156" s="2" t="s">
        <v>32</v>
      </c>
      <c r="B156" s="108"/>
      <c r="C156" s="110"/>
      <c r="D156" s="146">
        <v>200</v>
      </c>
      <c r="E156" s="23"/>
      <c r="F156" s="67"/>
      <c r="G156" s="108"/>
      <c r="H156" s="110"/>
      <c r="I156" s="146">
        <v>180</v>
      </c>
      <c r="J156" s="23"/>
      <c r="K156" s="67"/>
      <c r="L156" s="108"/>
      <c r="M156" s="110"/>
      <c r="N156" s="120">
        <v>236</v>
      </c>
      <c r="O156" s="23"/>
      <c r="P156" s="67"/>
      <c r="Q156" s="121"/>
      <c r="R156" s="122"/>
      <c r="S156" s="122"/>
      <c r="T156" s="23"/>
      <c r="U156" s="67"/>
      <c r="V156" s="80"/>
      <c r="W156" s="11"/>
      <c r="X156" s="41"/>
      <c r="Y156" s="23"/>
      <c r="Z156" s="67"/>
      <c r="AA156" s="121"/>
      <c r="AB156" s="203"/>
      <c r="AC156" s="204"/>
      <c r="AD156" s="23"/>
      <c r="AE156" s="67"/>
      <c r="AF156" s="121"/>
      <c r="AG156" s="122"/>
      <c r="AH156" s="122"/>
      <c r="AI156" s="23"/>
      <c r="AJ156" s="67"/>
      <c r="AK156" s="156"/>
      <c r="AL156" s="194"/>
      <c r="AM156" s="196"/>
      <c r="AO156" s="2"/>
      <c r="AP156" s="206"/>
      <c r="AQ156" s="158"/>
      <c r="AR156" s="159"/>
      <c r="AS156" s="23"/>
      <c r="AT156" s="67"/>
      <c r="AU156" s="33"/>
    </row>
    <row r="157" spans="1:47" x14ac:dyDescent="0.25">
      <c r="A157" s="2" t="s">
        <v>33</v>
      </c>
      <c r="B157" s="108"/>
      <c r="C157" s="110"/>
      <c r="D157" s="146">
        <v>9422</v>
      </c>
      <c r="E157" s="23"/>
      <c r="F157" s="67"/>
      <c r="G157" s="108"/>
      <c r="H157" s="110"/>
      <c r="I157" s="146">
        <v>8400</v>
      </c>
      <c r="J157" s="23"/>
      <c r="K157" s="67"/>
      <c r="L157" s="108"/>
      <c r="M157" s="110"/>
      <c r="N157" s="120">
        <v>9350</v>
      </c>
      <c r="O157" s="23"/>
      <c r="P157" s="67"/>
      <c r="Q157" s="121"/>
      <c r="R157" s="122"/>
      <c r="S157" s="122"/>
      <c r="T157" s="23"/>
      <c r="U157" s="67"/>
      <c r="V157" s="68"/>
      <c r="W157" s="11"/>
      <c r="X157" s="41"/>
      <c r="Y157" s="23"/>
      <c r="Z157" s="67"/>
      <c r="AA157" s="121"/>
      <c r="AB157" s="203"/>
      <c r="AC157" s="204"/>
      <c r="AD157" s="23"/>
      <c r="AE157" s="67"/>
      <c r="AF157" s="121"/>
      <c r="AG157" s="122"/>
      <c r="AH157" s="122"/>
      <c r="AI157" s="23"/>
      <c r="AJ157" s="67"/>
      <c r="AK157" s="156"/>
      <c r="AL157" s="194"/>
      <c r="AM157" s="196"/>
      <c r="AO157" s="2"/>
      <c r="AP157" s="206"/>
      <c r="AQ157" s="158"/>
      <c r="AR157" s="159"/>
      <c r="AS157" s="23"/>
      <c r="AT157" s="67"/>
      <c r="AU157" s="33"/>
    </row>
    <row r="158" spans="1:47" x14ac:dyDescent="0.25">
      <c r="A158" s="2" t="s">
        <v>34</v>
      </c>
      <c r="B158" s="108"/>
      <c r="C158" s="110"/>
      <c r="D158" s="146">
        <v>916</v>
      </c>
      <c r="E158" s="23"/>
      <c r="F158" s="67"/>
      <c r="G158" s="108"/>
      <c r="H158" s="110"/>
      <c r="I158" s="146">
        <v>950</v>
      </c>
      <c r="J158" s="23"/>
      <c r="K158" s="67"/>
      <c r="L158" s="108"/>
      <c r="M158" s="110"/>
      <c r="N158" s="120">
        <v>1709</v>
      </c>
      <c r="O158" s="23"/>
      <c r="P158" s="67"/>
      <c r="Q158" s="121"/>
      <c r="R158" s="122"/>
      <c r="S158" s="122"/>
      <c r="T158" s="23"/>
      <c r="U158" s="67"/>
      <c r="V158" s="68"/>
      <c r="W158" s="11"/>
      <c r="X158" s="41"/>
      <c r="Y158" s="23"/>
      <c r="Z158" s="67"/>
      <c r="AA158" s="121"/>
      <c r="AB158" s="203"/>
      <c r="AC158" s="204"/>
      <c r="AD158" s="23"/>
      <c r="AE158" s="67"/>
      <c r="AF158" s="121"/>
      <c r="AG158" s="122"/>
      <c r="AH158" s="122"/>
      <c r="AI158" s="23"/>
      <c r="AJ158" s="67"/>
      <c r="AK158" s="156"/>
      <c r="AL158" s="194"/>
      <c r="AM158" s="196"/>
      <c r="AO158" s="2"/>
      <c r="AP158" s="206"/>
      <c r="AQ158" s="158"/>
      <c r="AR158" s="159"/>
      <c r="AS158" s="23"/>
      <c r="AT158" s="67"/>
      <c r="AU158" s="33"/>
    </row>
    <row r="159" spans="1:47" x14ac:dyDescent="0.25">
      <c r="A159" s="2" t="s">
        <v>35</v>
      </c>
      <c r="B159" s="108"/>
      <c r="C159" s="110"/>
      <c r="D159" s="146">
        <v>3</v>
      </c>
      <c r="E159" s="23"/>
      <c r="F159" s="67"/>
      <c r="G159" s="108"/>
      <c r="H159" s="110"/>
      <c r="I159" s="146">
        <v>10</v>
      </c>
      <c r="J159" s="23"/>
      <c r="K159" s="67"/>
      <c r="L159" s="108"/>
      <c r="M159" s="110"/>
      <c r="N159" s="120">
        <v>17</v>
      </c>
      <c r="O159" s="23"/>
      <c r="P159" s="67"/>
      <c r="Q159" s="121"/>
      <c r="R159" s="122"/>
      <c r="S159" s="122"/>
      <c r="T159" s="23"/>
      <c r="U159" s="67"/>
      <c r="V159" s="68"/>
      <c r="W159" s="11"/>
      <c r="X159" s="41"/>
      <c r="Y159" s="23"/>
      <c r="Z159" s="67"/>
      <c r="AA159" s="121"/>
      <c r="AB159" s="203"/>
      <c r="AC159" s="204"/>
      <c r="AD159" s="23"/>
      <c r="AE159" s="67"/>
      <c r="AF159" s="121"/>
      <c r="AG159" s="122"/>
      <c r="AH159" s="122"/>
      <c r="AI159" s="23"/>
      <c r="AJ159" s="67"/>
      <c r="AK159" s="156"/>
      <c r="AL159" s="194"/>
      <c r="AM159" s="196"/>
      <c r="AO159" s="2"/>
      <c r="AP159" s="206"/>
      <c r="AQ159" s="158"/>
      <c r="AR159" s="159"/>
      <c r="AS159" s="23"/>
      <c r="AT159" s="67"/>
      <c r="AU159" s="33"/>
    </row>
    <row r="160" spans="1:47" x14ac:dyDescent="0.25">
      <c r="A160" s="2" t="s">
        <v>36</v>
      </c>
      <c r="B160" s="108"/>
      <c r="C160" s="110"/>
      <c r="D160" s="146">
        <v>1427</v>
      </c>
      <c r="E160" s="23"/>
      <c r="F160" s="67"/>
      <c r="G160" s="108"/>
      <c r="H160" s="110"/>
      <c r="I160" s="146">
        <v>1350</v>
      </c>
      <c r="J160" s="23"/>
      <c r="K160" s="67"/>
      <c r="L160" s="108"/>
      <c r="M160" s="110"/>
      <c r="N160" s="120">
        <v>1804</v>
      </c>
      <c r="O160" s="23"/>
      <c r="P160" s="67"/>
      <c r="Q160" s="121"/>
      <c r="R160" s="122"/>
      <c r="S160" s="122"/>
      <c r="T160" s="23"/>
      <c r="U160" s="67"/>
      <c r="V160" s="68"/>
      <c r="W160" s="11"/>
      <c r="X160" s="41"/>
      <c r="Y160" s="23"/>
      <c r="Z160" s="67"/>
      <c r="AA160" s="121"/>
      <c r="AB160" s="203"/>
      <c r="AC160" s="204"/>
      <c r="AD160" s="23"/>
      <c r="AE160" s="67"/>
      <c r="AF160" s="121"/>
      <c r="AG160" s="122"/>
      <c r="AH160" s="122"/>
      <c r="AI160" s="23"/>
      <c r="AJ160" s="67"/>
      <c r="AK160" s="156"/>
      <c r="AL160" s="194"/>
      <c r="AM160" s="196"/>
      <c r="AO160" s="2"/>
      <c r="AP160" s="206"/>
      <c r="AQ160" s="158"/>
      <c r="AR160" s="159"/>
      <c r="AS160" s="23"/>
      <c r="AT160" s="67"/>
      <c r="AU160" s="33"/>
    </row>
    <row r="161" spans="1:47" x14ac:dyDescent="0.25">
      <c r="A161" s="2" t="s">
        <v>37</v>
      </c>
      <c r="B161" s="108"/>
      <c r="C161" s="110"/>
      <c r="D161" s="146">
        <v>483</v>
      </c>
      <c r="E161" s="23"/>
      <c r="F161" s="67"/>
      <c r="G161" s="108"/>
      <c r="H161" s="110"/>
      <c r="I161" s="146">
        <v>550</v>
      </c>
      <c r="J161" s="23"/>
      <c r="K161" s="67"/>
      <c r="L161" s="108"/>
      <c r="M161" s="110"/>
      <c r="N161" s="120">
        <v>557</v>
      </c>
      <c r="O161" s="23"/>
      <c r="P161" s="67"/>
      <c r="Q161" s="121"/>
      <c r="R161" s="122"/>
      <c r="S161" s="122"/>
      <c r="T161" s="23"/>
      <c r="U161" s="67"/>
      <c r="V161" s="68"/>
      <c r="W161" s="11"/>
      <c r="X161" s="41"/>
      <c r="Y161" s="23"/>
      <c r="Z161" s="67"/>
      <c r="AA161" s="121"/>
      <c r="AB161" s="203"/>
      <c r="AC161" s="204"/>
      <c r="AD161" s="23"/>
      <c r="AE161" s="67"/>
      <c r="AF161" s="121"/>
      <c r="AG161" s="122"/>
      <c r="AH161" s="122"/>
      <c r="AI161" s="23"/>
      <c r="AJ161" s="67"/>
      <c r="AK161" s="156"/>
      <c r="AL161" s="194"/>
      <c r="AM161" s="196"/>
      <c r="AO161" s="2"/>
      <c r="AP161" s="206"/>
      <c r="AQ161" s="158"/>
      <c r="AR161" s="159"/>
      <c r="AS161" s="23"/>
      <c r="AT161" s="67"/>
      <c r="AU161" s="33"/>
    </row>
    <row r="162" spans="1:47" x14ac:dyDescent="0.25">
      <c r="A162" s="2" t="s">
        <v>38</v>
      </c>
      <c r="B162" s="108"/>
      <c r="C162" s="110"/>
      <c r="D162" s="146">
        <v>23</v>
      </c>
      <c r="E162" s="23"/>
      <c r="F162" s="67"/>
      <c r="G162" s="108"/>
      <c r="H162" s="110"/>
      <c r="I162" s="146">
        <v>15</v>
      </c>
      <c r="J162" s="23"/>
      <c r="K162" s="67"/>
      <c r="L162" s="108"/>
      <c r="M162" s="110"/>
      <c r="N162" s="120">
        <v>30</v>
      </c>
      <c r="O162" s="23"/>
      <c r="P162" s="67"/>
      <c r="Q162" s="121"/>
      <c r="R162" s="122"/>
      <c r="S162" s="122"/>
      <c r="T162" s="23"/>
      <c r="U162" s="67"/>
      <c r="V162" s="68"/>
      <c r="W162" s="11"/>
      <c r="X162" s="41"/>
      <c r="Y162" s="23"/>
      <c r="Z162" s="67"/>
      <c r="AA162" s="121"/>
      <c r="AB162" s="203"/>
      <c r="AC162" s="204"/>
      <c r="AD162" s="23"/>
      <c r="AE162" s="67"/>
      <c r="AF162" s="121"/>
      <c r="AG162" s="122"/>
      <c r="AH162" s="122"/>
      <c r="AI162" s="23"/>
      <c r="AJ162" s="67"/>
      <c r="AK162" s="156"/>
      <c r="AL162" s="194"/>
      <c r="AM162" s="196"/>
      <c r="AO162" s="2"/>
      <c r="AP162" s="206"/>
      <c r="AQ162" s="158"/>
      <c r="AR162" s="159"/>
      <c r="AS162" s="23"/>
      <c r="AT162" s="67"/>
      <c r="AU162" s="33"/>
    </row>
    <row r="163" spans="1:47" x14ac:dyDescent="0.25">
      <c r="B163" s="121"/>
      <c r="C163" s="122"/>
      <c r="D163" s="122"/>
      <c r="E163" s="23"/>
      <c r="F163" s="67"/>
      <c r="G163" s="121"/>
      <c r="H163" s="122"/>
      <c r="I163" s="122"/>
      <c r="J163" s="23"/>
      <c r="K163" s="67"/>
      <c r="L163" s="121"/>
      <c r="M163" s="122"/>
      <c r="N163" s="122"/>
      <c r="O163" s="23"/>
      <c r="P163" s="67"/>
      <c r="Q163" s="121"/>
      <c r="R163" s="122"/>
      <c r="S163" s="122"/>
      <c r="T163" s="23"/>
      <c r="U163" s="67"/>
      <c r="V163" s="68"/>
      <c r="W163" s="11"/>
      <c r="X163" s="41"/>
      <c r="Y163" s="23"/>
      <c r="Z163" s="67"/>
      <c r="AA163" s="121"/>
      <c r="AB163" s="203"/>
      <c r="AC163" s="204"/>
      <c r="AE163" s="67"/>
      <c r="AF163" s="121"/>
      <c r="AG163" s="122"/>
      <c r="AH163" s="122"/>
      <c r="AI163" s="23"/>
      <c r="AJ163" s="67"/>
      <c r="AK163" s="156"/>
      <c r="AL163" s="194"/>
      <c r="AM163" s="196"/>
      <c r="AO163" s="2"/>
      <c r="AP163" s="206"/>
      <c r="AQ163" s="158"/>
      <c r="AR163" s="159"/>
      <c r="AS163" s="23"/>
      <c r="AT163" s="67"/>
      <c r="AU163" s="33"/>
    </row>
    <row r="164" spans="1:47" x14ac:dyDescent="0.25">
      <c r="B164" s="121"/>
      <c r="C164" s="122"/>
      <c r="D164" s="122"/>
      <c r="E164" s="23"/>
      <c r="F164" s="67"/>
      <c r="G164" s="121"/>
      <c r="H164" s="122"/>
      <c r="I164" s="122"/>
      <c r="J164" s="23"/>
      <c r="K164" s="67"/>
      <c r="L164" s="121"/>
      <c r="M164" s="122"/>
      <c r="N164" s="122"/>
      <c r="O164" s="23"/>
      <c r="P164" s="67"/>
      <c r="Q164" s="121"/>
      <c r="R164" s="122"/>
      <c r="S164" s="122"/>
      <c r="T164" s="23"/>
      <c r="U164" s="67"/>
      <c r="V164" s="68"/>
      <c r="W164" s="11"/>
      <c r="X164" s="41"/>
      <c r="Y164" s="23"/>
      <c r="Z164" s="67"/>
      <c r="AA164" s="121"/>
      <c r="AB164" s="203"/>
      <c r="AC164" s="204"/>
      <c r="AE164" s="67"/>
      <c r="AF164" s="121"/>
      <c r="AG164" s="122"/>
      <c r="AH164" s="122"/>
      <c r="AI164" s="23"/>
      <c r="AJ164" s="67"/>
      <c r="AK164" s="156"/>
      <c r="AL164" s="194"/>
      <c r="AM164" s="196"/>
      <c r="AO164" s="2"/>
      <c r="AP164" s="206"/>
      <c r="AQ164" s="158"/>
      <c r="AR164" s="159"/>
      <c r="AS164" s="23"/>
      <c r="AT164" s="67"/>
      <c r="AU164" s="33"/>
    </row>
    <row r="165" spans="1:47" x14ac:dyDescent="0.25">
      <c r="B165" s="121"/>
      <c r="C165" s="122"/>
      <c r="D165" s="122"/>
      <c r="E165" s="23"/>
      <c r="F165" s="67"/>
      <c r="G165" s="121"/>
      <c r="H165" s="122"/>
      <c r="I165" s="122"/>
      <c r="J165" s="23"/>
      <c r="K165" s="67"/>
      <c r="L165" s="121"/>
      <c r="M165" s="122"/>
      <c r="N165" s="122"/>
      <c r="O165" s="23"/>
      <c r="P165" s="67"/>
      <c r="Q165" s="121"/>
      <c r="R165" s="122"/>
      <c r="S165" s="122"/>
      <c r="T165" s="23"/>
      <c r="U165" s="67"/>
      <c r="V165" s="68"/>
      <c r="W165" s="11"/>
      <c r="X165" s="41"/>
      <c r="Y165" s="23"/>
      <c r="Z165" s="67"/>
      <c r="AA165" s="121"/>
      <c r="AB165" s="203"/>
      <c r="AC165" s="204"/>
      <c r="AE165" s="67"/>
      <c r="AF165" s="121"/>
      <c r="AG165" s="122"/>
      <c r="AH165" s="122"/>
      <c r="AI165" s="23"/>
      <c r="AJ165" s="67"/>
      <c r="AK165" s="156"/>
      <c r="AL165" s="194"/>
      <c r="AM165" s="196"/>
      <c r="AO165" s="2"/>
      <c r="AP165" s="156"/>
      <c r="AQ165" s="157"/>
      <c r="AR165" s="159"/>
      <c r="AS165" s="23"/>
      <c r="AT165" s="67"/>
      <c r="AU165" s="33"/>
    </row>
    <row r="166" spans="1:47" x14ac:dyDescent="0.25">
      <c r="A166" s="1" t="s">
        <v>26</v>
      </c>
      <c r="B166" s="130"/>
      <c r="C166" s="110">
        <f>2953+1494+128+5217+551+148</f>
        <v>10491</v>
      </c>
      <c r="D166" s="111"/>
      <c r="E166" s="27" t="s">
        <v>217</v>
      </c>
      <c r="F166" s="67"/>
      <c r="G166" s="130"/>
      <c r="H166" s="127">
        <f>SUM(I167:I172)</f>
        <v>8640</v>
      </c>
      <c r="I166" s="111"/>
      <c r="J166" s="27" t="s">
        <v>217</v>
      </c>
      <c r="K166" s="67"/>
      <c r="L166" s="130"/>
      <c r="M166" s="110">
        <f>SUM(N167:N172)</f>
        <v>12880</v>
      </c>
      <c r="N166" s="111"/>
      <c r="O166" s="27" t="s">
        <v>217</v>
      </c>
      <c r="P166" s="67"/>
      <c r="Q166" s="121"/>
      <c r="R166" s="122"/>
      <c r="S166" s="122"/>
      <c r="T166" s="23"/>
      <c r="U166" s="67"/>
      <c r="V166" s="187"/>
      <c r="W166" s="11"/>
      <c r="X166" s="41"/>
      <c r="Y166" s="23"/>
      <c r="Z166" s="67"/>
      <c r="AA166" s="121"/>
      <c r="AB166" s="203"/>
      <c r="AC166" s="204"/>
      <c r="AE166" s="67"/>
      <c r="AF166" s="121"/>
      <c r="AG166" s="122"/>
      <c r="AH166" s="122"/>
      <c r="AI166" s="23"/>
      <c r="AJ166" s="67"/>
      <c r="AK166" s="156"/>
      <c r="AL166" s="194"/>
      <c r="AM166" s="196"/>
      <c r="AO166" s="2"/>
      <c r="AP166" s="156"/>
      <c r="AQ166" s="157"/>
      <c r="AR166" s="159"/>
      <c r="AS166" s="23"/>
      <c r="AT166" s="67"/>
      <c r="AU166" s="33"/>
    </row>
    <row r="167" spans="1:47" x14ac:dyDescent="0.25">
      <c r="A167" s="2" t="s">
        <v>25</v>
      </c>
      <c r="B167" s="130"/>
      <c r="C167" s="122"/>
      <c r="D167" s="111">
        <v>2953</v>
      </c>
      <c r="E167" s="12" t="s">
        <v>151</v>
      </c>
      <c r="F167" s="67"/>
      <c r="G167" s="130"/>
      <c r="H167" s="122"/>
      <c r="I167" s="111">
        <v>453</v>
      </c>
      <c r="J167" s="12" t="s">
        <v>151</v>
      </c>
      <c r="K167" s="67"/>
      <c r="L167" s="130"/>
      <c r="M167" s="122"/>
      <c r="N167" s="111">
        <v>4000</v>
      </c>
      <c r="O167" s="12" t="s">
        <v>151</v>
      </c>
      <c r="P167" s="67"/>
      <c r="Q167" s="121"/>
      <c r="R167" s="122"/>
      <c r="S167" s="122"/>
      <c r="T167" s="23"/>
      <c r="U167" s="67"/>
      <c r="V167" s="80"/>
      <c r="W167" s="11"/>
      <c r="X167" s="41"/>
      <c r="Y167" s="23"/>
      <c r="Z167" s="67"/>
      <c r="AA167" s="121"/>
      <c r="AB167" s="203"/>
      <c r="AC167" s="204"/>
      <c r="AE167" s="67"/>
      <c r="AF167" s="121"/>
      <c r="AG167" s="122"/>
      <c r="AH167" s="122"/>
      <c r="AI167" s="23"/>
      <c r="AJ167" s="67"/>
      <c r="AK167" s="156"/>
      <c r="AL167" s="194"/>
      <c r="AM167" s="196"/>
      <c r="AO167" s="2"/>
      <c r="AP167" s="156"/>
      <c r="AQ167" s="157"/>
      <c r="AR167" s="159"/>
      <c r="AS167" s="23"/>
      <c r="AT167" s="67"/>
      <c r="AU167" s="33"/>
    </row>
    <row r="168" spans="1:47" x14ac:dyDescent="0.25">
      <c r="A168" s="2" t="s">
        <v>45</v>
      </c>
      <c r="B168" s="130"/>
      <c r="C168" s="122"/>
      <c r="D168" s="111">
        <v>1494</v>
      </c>
      <c r="E168" s="13" t="s">
        <v>152</v>
      </c>
      <c r="F168" s="67"/>
      <c r="G168" s="130"/>
      <c r="H168" s="122"/>
      <c r="I168" s="111">
        <v>1297</v>
      </c>
      <c r="J168" s="13" t="s">
        <v>152</v>
      </c>
      <c r="K168" s="67"/>
      <c r="L168" s="130"/>
      <c r="M168" s="122"/>
      <c r="N168" s="111">
        <v>1100</v>
      </c>
      <c r="O168" s="13" t="s">
        <v>152</v>
      </c>
      <c r="P168" s="67"/>
      <c r="Q168" s="121"/>
      <c r="R168" s="122"/>
      <c r="S168" s="122"/>
      <c r="T168" s="23"/>
      <c r="U168" s="67"/>
      <c r="V168" s="80"/>
      <c r="W168" s="11"/>
      <c r="X168" s="41"/>
      <c r="Y168" s="23"/>
      <c r="Z168" s="67"/>
      <c r="AA168" s="121"/>
      <c r="AB168" s="203"/>
      <c r="AC168" s="204"/>
      <c r="AE168" s="67"/>
      <c r="AF168" s="121"/>
      <c r="AG168" s="122"/>
      <c r="AH168" s="122"/>
      <c r="AI168" s="23"/>
      <c r="AJ168" s="67"/>
      <c r="AK168" s="57"/>
      <c r="AL168" s="38"/>
      <c r="AM168" s="37"/>
      <c r="AO168" s="2"/>
      <c r="AP168" s="156"/>
      <c r="AQ168" s="157"/>
      <c r="AR168" s="159"/>
      <c r="AS168" s="23"/>
      <c r="AT168" s="67"/>
      <c r="AU168" s="33"/>
    </row>
    <row r="169" spans="1:47" x14ac:dyDescent="0.25">
      <c r="A169" s="2" t="s">
        <v>153</v>
      </c>
      <c r="B169" s="130"/>
      <c r="C169" s="122"/>
      <c r="D169" s="111">
        <v>128</v>
      </c>
      <c r="E169" s="13" t="s">
        <v>152</v>
      </c>
      <c r="F169" s="67"/>
      <c r="G169" s="130"/>
      <c r="H169" s="122"/>
      <c r="I169" s="111">
        <v>118</v>
      </c>
      <c r="J169" s="13" t="s">
        <v>152</v>
      </c>
      <c r="K169" s="67"/>
      <c r="L169" s="130"/>
      <c r="M169" s="122"/>
      <c r="N169" s="111">
        <v>100</v>
      </c>
      <c r="O169" s="13" t="s">
        <v>152</v>
      </c>
      <c r="P169" s="67"/>
      <c r="Q169" s="121"/>
      <c r="R169" s="122"/>
      <c r="S169" s="122"/>
      <c r="T169" s="23"/>
      <c r="U169" s="67"/>
      <c r="V169" s="80"/>
      <c r="W169" s="11"/>
      <c r="X169" s="41"/>
      <c r="Y169" s="23"/>
      <c r="Z169" s="67"/>
      <c r="AA169" s="121"/>
      <c r="AB169" s="203"/>
      <c r="AC169" s="204"/>
      <c r="AE169" s="67"/>
      <c r="AF169" s="121"/>
      <c r="AG169" s="122"/>
      <c r="AH169" s="122"/>
      <c r="AI169" s="23"/>
      <c r="AJ169" s="67"/>
      <c r="AK169" s="57"/>
      <c r="AL169" s="38"/>
      <c r="AM169" s="37"/>
      <c r="AO169" s="2"/>
      <c r="AP169" s="156"/>
      <c r="AQ169" s="157"/>
      <c r="AR169" s="159"/>
      <c r="AS169" s="23"/>
      <c r="AT169" s="67"/>
      <c r="AU169" s="33"/>
    </row>
    <row r="170" spans="1:47" x14ac:dyDescent="0.25">
      <c r="A170" s="2" t="s">
        <v>253</v>
      </c>
      <c r="B170" s="130"/>
      <c r="C170" s="122"/>
      <c r="D170" s="111">
        <v>5217</v>
      </c>
      <c r="E170" s="13" t="s">
        <v>155</v>
      </c>
      <c r="F170" s="67"/>
      <c r="G170" s="130"/>
      <c r="H170" s="122"/>
      <c r="I170" s="146">
        <f>4791+267+549</f>
        <v>5607</v>
      </c>
      <c r="J170" s="13" t="s">
        <v>155</v>
      </c>
      <c r="K170" s="67"/>
      <c r="L170" s="130"/>
      <c r="M170" s="122"/>
      <c r="N170" s="111">
        <v>6034</v>
      </c>
      <c r="O170" s="13" t="s">
        <v>155</v>
      </c>
      <c r="P170" s="67"/>
      <c r="Q170" s="121"/>
      <c r="R170" s="122"/>
      <c r="S170" s="122"/>
      <c r="T170" s="23"/>
      <c r="U170" s="67"/>
      <c r="V170" s="80"/>
      <c r="W170" s="11"/>
      <c r="X170" s="41"/>
      <c r="Y170" s="23"/>
      <c r="Z170" s="67"/>
      <c r="AA170" s="121"/>
      <c r="AB170" s="203"/>
      <c r="AC170" s="204"/>
      <c r="AE170" s="67"/>
      <c r="AF170" s="121"/>
      <c r="AG170" s="122"/>
      <c r="AH170" s="122"/>
      <c r="AI170" s="23"/>
      <c r="AJ170" s="67"/>
      <c r="AK170" s="57"/>
      <c r="AL170" s="38"/>
      <c r="AM170" s="37"/>
      <c r="AO170" s="2"/>
      <c r="AP170" s="156"/>
      <c r="AQ170" s="157"/>
      <c r="AR170" s="159"/>
      <c r="AS170" s="23"/>
      <c r="AT170" s="67"/>
      <c r="AU170" s="33"/>
    </row>
    <row r="171" spans="1:47" x14ac:dyDescent="0.25">
      <c r="A171" s="2" t="s">
        <v>150</v>
      </c>
      <c r="B171" s="130"/>
      <c r="C171" s="122"/>
      <c r="D171" s="111">
        <v>551</v>
      </c>
      <c r="E171" s="13" t="s">
        <v>156</v>
      </c>
      <c r="F171" s="67"/>
      <c r="G171" s="130"/>
      <c r="H171" s="122"/>
      <c r="I171" s="146">
        <v>989</v>
      </c>
      <c r="J171" s="13" t="s">
        <v>156</v>
      </c>
      <c r="K171" s="67"/>
      <c r="L171" s="130"/>
      <c r="M171" s="122"/>
      <c r="N171" s="111">
        <v>1646</v>
      </c>
      <c r="O171" s="13" t="s">
        <v>156</v>
      </c>
      <c r="P171" s="67"/>
      <c r="Q171" s="121"/>
      <c r="R171" s="122"/>
      <c r="S171" s="122"/>
      <c r="T171" s="23"/>
      <c r="U171" s="67"/>
      <c r="V171" s="68"/>
      <c r="W171" s="11"/>
      <c r="X171" s="41"/>
      <c r="Y171" s="23"/>
      <c r="Z171" s="67"/>
      <c r="AA171" s="121"/>
      <c r="AB171" s="203"/>
      <c r="AC171" s="204"/>
      <c r="AE171" s="67"/>
      <c r="AF171" s="121"/>
      <c r="AG171" s="122"/>
      <c r="AH171" s="122"/>
      <c r="AI171" s="23"/>
      <c r="AJ171" s="67"/>
      <c r="AK171" s="57"/>
      <c r="AL171" s="38"/>
      <c r="AM171" s="37"/>
      <c r="AO171" s="2"/>
      <c r="AP171" s="156"/>
      <c r="AQ171" s="157"/>
      <c r="AR171" s="159"/>
      <c r="AS171" s="23"/>
      <c r="AT171" s="67"/>
      <c r="AU171" s="33"/>
    </row>
    <row r="172" spans="1:47" x14ac:dyDescent="0.25">
      <c r="A172" s="2" t="s">
        <v>26</v>
      </c>
      <c r="B172" s="130"/>
      <c r="C172" s="122"/>
      <c r="D172" s="111">
        <v>148</v>
      </c>
      <c r="E172" s="13" t="s">
        <v>154</v>
      </c>
      <c r="F172" s="67"/>
      <c r="G172" s="130"/>
      <c r="H172" s="122"/>
      <c r="I172" s="111">
        <v>176</v>
      </c>
      <c r="J172" s="13" t="s">
        <v>154</v>
      </c>
      <c r="K172" s="67"/>
      <c r="L172" s="130"/>
      <c r="M172" s="122"/>
      <c r="N172" s="111">
        <v>0</v>
      </c>
      <c r="O172" s="27" t="s">
        <v>154</v>
      </c>
      <c r="P172" s="48" t="s">
        <v>254</v>
      </c>
      <c r="Q172" s="121" t="s">
        <v>49</v>
      </c>
      <c r="R172" s="122"/>
      <c r="S172" s="122"/>
      <c r="T172" s="23"/>
      <c r="U172" s="67"/>
      <c r="V172" s="68"/>
      <c r="W172" s="11"/>
      <c r="X172" s="41"/>
      <c r="Y172" s="23"/>
      <c r="Z172" s="67"/>
      <c r="AA172" s="121"/>
      <c r="AB172" s="203"/>
      <c r="AC172" s="204"/>
      <c r="AE172" s="67"/>
      <c r="AF172" s="121"/>
      <c r="AG172" s="122"/>
      <c r="AH172" s="122"/>
      <c r="AI172" s="23"/>
      <c r="AJ172" s="67"/>
      <c r="AK172" s="57"/>
      <c r="AL172" s="38"/>
      <c r="AM172" s="37"/>
      <c r="AO172" s="2"/>
      <c r="AP172" s="156"/>
      <c r="AQ172" s="157"/>
      <c r="AR172" s="159"/>
      <c r="AS172" s="23"/>
      <c r="AT172" s="67"/>
      <c r="AU172" s="33"/>
    </row>
    <row r="173" spans="1:47" x14ac:dyDescent="0.25">
      <c r="A173" s="2"/>
      <c r="B173" s="130"/>
      <c r="C173" s="122"/>
      <c r="D173" s="111"/>
      <c r="E173" s="27"/>
      <c r="F173" s="67"/>
      <c r="G173" s="130"/>
      <c r="H173" s="122"/>
      <c r="I173" s="111"/>
      <c r="J173" s="27"/>
      <c r="K173" s="67"/>
      <c r="L173" s="130"/>
      <c r="M173" s="122"/>
      <c r="N173" s="111"/>
      <c r="O173" s="27"/>
      <c r="P173" s="67"/>
      <c r="Q173" s="121"/>
      <c r="R173" s="122"/>
      <c r="S173" s="122"/>
      <c r="T173" s="23"/>
      <c r="U173" s="67"/>
      <c r="V173" s="68"/>
      <c r="W173" s="11"/>
      <c r="X173" s="41"/>
      <c r="Y173" s="23"/>
      <c r="Z173" s="67"/>
      <c r="AA173" s="121"/>
      <c r="AB173" s="203"/>
      <c r="AC173" s="204"/>
      <c r="AE173" s="67"/>
      <c r="AF173" s="121"/>
      <c r="AG173" s="122"/>
      <c r="AH173" s="122"/>
      <c r="AI173" s="23"/>
      <c r="AJ173" s="67"/>
      <c r="AK173" s="57"/>
      <c r="AL173" s="38"/>
      <c r="AM173" s="37"/>
      <c r="AO173" s="2"/>
      <c r="AP173" s="156"/>
      <c r="AQ173" s="157"/>
      <c r="AR173" s="159"/>
      <c r="AS173" s="23"/>
      <c r="AT173" s="67"/>
      <c r="AU173" s="33"/>
    </row>
    <row r="174" spans="1:47" x14ac:dyDescent="0.25">
      <c r="B174" s="121"/>
      <c r="C174" s="122"/>
      <c r="D174" s="122"/>
      <c r="F174" s="2"/>
      <c r="G174" s="121"/>
      <c r="H174" s="122"/>
      <c r="I174" s="122"/>
      <c r="K174" s="2"/>
      <c r="L174" s="121"/>
      <c r="M174" s="122"/>
      <c r="N174" s="122"/>
      <c r="P174" s="2"/>
      <c r="Q174" s="121"/>
      <c r="R174" s="122"/>
      <c r="S174" s="122"/>
      <c r="T174" s="23"/>
      <c r="U174" s="67"/>
      <c r="V174" s="68"/>
      <c r="W174" s="11"/>
      <c r="X174" s="41"/>
      <c r="Y174" s="23"/>
      <c r="Z174" s="67"/>
      <c r="AA174" s="121"/>
      <c r="AB174" s="203"/>
      <c r="AC174" s="204"/>
      <c r="AE174" s="67"/>
      <c r="AF174" s="121"/>
      <c r="AG174" s="122"/>
      <c r="AH174" s="122"/>
      <c r="AI174" s="23"/>
      <c r="AJ174" s="67"/>
      <c r="AK174" s="57"/>
      <c r="AL174" s="38"/>
      <c r="AM174" s="37"/>
      <c r="AO174" s="2"/>
      <c r="AP174" s="156"/>
      <c r="AQ174" s="157"/>
      <c r="AR174" s="159"/>
      <c r="AS174" s="23"/>
      <c r="AT174" s="67"/>
      <c r="AU174" s="33"/>
    </row>
    <row r="175" spans="1:47" x14ac:dyDescent="0.25">
      <c r="A175" s="4" t="s">
        <v>185</v>
      </c>
      <c r="B175" s="128">
        <f>SUM(D177:D184)</f>
        <v>22064</v>
      </c>
      <c r="C175" s="110"/>
      <c r="D175" s="111"/>
      <c r="E175" s="22"/>
      <c r="F175" s="67" t="s">
        <v>212</v>
      </c>
      <c r="G175" s="128"/>
      <c r="H175" s="127"/>
      <c r="I175" s="120"/>
      <c r="J175" s="22"/>
      <c r="K175" s="67" t="s">
        <v>212</v>
      </c>
      <c r="L175" s="128"/>
      <c r="M175" s="127"/>
      <c r="N175" s="120"/>
      <c r="O175" s="22"/>
      <c r="P175" s="67" t="s">
        <v>212</v>
      </c>
      <c r="Q175" s="121"/>
      <c r="R175" s="122"/>
      <c r="S175" s="122"/>
      <c r="T175" s="23"/>
      <c r="U175" s="67"/>
      <c r="V175" s="68"/>
      <c r="W175" s="11"/>
      <c r="X175" s="41"/>
      <c r="Y175" s="23"/>
      <c r="Z175" s="67"/>
      <c r="AA175" s="121"/>
      <c r="AB175" s="203"/>
      <c r="AC175" s="204"/>
      <c r="AE175" s="67"/>
      <c r="AF175" s="121"/>
      <c r="AG175" s="122"/>
      <c r="AH175" s="122"/>
      <c r="AI175" s="23"/>
      <c r="AJ175" s="67"/>
      <c r="AK175" s="57"/>
      <c r="AL175" s="38"/>
      <c r="AM175" s="37"/>
      <c r="AO175" s="2"/>
      <c r="AP175" s="156"/>
      <c r="AQ175" s="157"/>
      <c r="AR175" s="159"/>
      <c r="AS175" s="23"/>
      <c r="AT175" s="67"/>
      <c r="AU175" s="33"/>
    </row>
    <row r="176" spans="1:47" x14ac:dyDescent="0.25">
      <c r="A176" s="4"/>
      <c r="B176" s="130"/>
      <c r="C176" s="110"/>
      <c r="D176" s="111"/>
      <c r="E176" s="22"/>
      <c r="F176" s="67"/>
      <c r="G176" s="145"/>
      <c r="H176" s="127"/>
      <c r="I176" s="120"/>
      <c r="J176" s="22"/>
      <c r="K176" s="67"/>
      <c r="L176" s="145"/>
      <c r="M176" s="127"/>
      <c r="N176" s="120"/>
      <c r="O176" s="22"/>
      <c r="P176" s="67"/>
      <c r="Q176" s="121"/>
      <c r="R176" s="122"/>
      <c r="S176" s="122"/>
      <c r="T176" s="23"/>
      <c r="U176" s="67"/>
      <c r="V176" s="68"/>
      <c r="W176" s="11"/>
      <c r="X176" s="41"/>
      <c r="Y176" s="23"/>
      <c r="Z176" s="67"/>
      <c r="AA176" s="121"/>
      <c r="AB176" s="203"/>
      <c r="AC176" s="204"/>
      <c r="AE176" s="67"/>
      <c r="AF176" s="121"/>
      <c r="AG176" s="122"/>
      <c r="AH176" s="122"/>
      <c r="AI176" s="23"/>
      <c r="AJ176" s="67"/>
      <c r="AK176" s="57"/>
      <c r="AL176" s="38"/>
      <c r="AM176" s="37"/>
      <c r="AO176" s="2"/>
      <c r="AP176" s="156"/>
      <c r="AQ176" s="157"/>
      <c r="AR176" s="159"/>
      <c r="AS176" s="23"/>
      <c r="AT176" s="67"/>
      <c r="AU176" s="33"/>
    </row>
    <row r="177" spans="1:47" x14ac:dyDescent="0.25">
      <c r="A177" s="31" t="s">
        <v>72</v>
      </c>
      <c r="B177" s="108"/>
      <c r="C177" s="110"/>
      <c r="D177" s="147">
        <v>7560</v>
      </c>
      <c r="E177" s="22" t="s">
        <v>70</v>
      </c>
      <c r="F177" s="67"/>
      <c r="G177" s="126"/>
      <c r="H177" s="127"/>
      <c r="I177" s="168"/>
      <c r="J177" s="22"/>
      <c r="K177" s="67"/>
      <c r="L177" s="126"/>
      <c r="M177" s="127"/>
      <c r="N177" s="168"/>
      <c r="O177" s="22"/>
      <c r="P177" s="67"/>
      <c r="Q177" s="121"/>
      <c r="R177" s="122"/>
      <c r="S177" s="122"/>
      <c r="T177" s="23"/>
      <c r="U177" s="67"/>
      <c r="V177" s="68"/>
      <c r="W177" s="11"/>
      <c r="X177" s="41"/>
      <c r="Y177" s="23"/>
      <c r="Z177" s="67"/>
      <c r="AA177" s="121"/>
      <c r="AB177" s="203"/>
      <c r="AC177" s="204"/>
      <c r="AE177" s="67"/>
      <c r="AF177" s="121"/>
      <c r="AG177" s="122"/>
      <c r="AH177" s="122"/>
      <c r="AI177" s="23"/>
      <c r="AJ177" s="67"/>
      <c r="AK177" s="57"/>
      <c r="AL177" s="38"/>
      <c r="AM177" s="37"/>
      <c r="AO177" s="2"/>
      <c r="AP177" s="57"/>
      <c r="AQ177" s="15"/>
      <c r="AR177" s="35"/>
      <c r="AS177" s="23"/>
      <c r="AT177" s="67"/>
      <c r="AU177" s="33"/>
    </row>
    <row r="178" spans="1:47" x14ac:dyDescent="0.25">
      <c r="A178" s="31" t="s">
        <v>172</v>
      </c>
      <c r="B178" s="129"/>
      <c r="C178" s="127"/>
      <c r="D178" s="147">
        <v>95</v>
      </c>
      <c r="E178" s="17" t="s">
        <v>71</v>
      </c>
      <c r="F178" s="67"/>
      <c r="G178" s="129"/>
      <c r="H178" s="127"/>
      <c r="I178" s="168"/>
      <c r="J178" s="17"/>
      <c r="K178" s="67"/>
      <c r="L178" s="129"/>
      <c r="M178" s="127"/>
      <c r="N178" s="168"/>
      <c r="O178" s="17"/>
      <c r="P178" s="67"/>
      <c r="Q178" s="121"/>
      <c r="R178" s="122"/>
      <c r="S178" s="122"/>
      <c r="T178" s="23"/>
      <c r="U178" s="67"/>
      <c r="V178" s="68"/>
      <c r="W178" s="11"/>
      <c r="X178" s="41"/>
      <c r="Y178" s="23"/>
      <c r="Z178" s="67"/>
      <c r="AA178" s="121"/>
      <c r="AB178" s="203"/>
      <c r="AC178" s="204"/>
      <c r="AE178" s="67"/>
      <c r="AF178" s="121"/>
      <c r="AG178" s="122"/>
      <c r="AH178" s="122"/>
      <c r="AI178" s="23"/>
      <c r="AJ178" s="67"/>
      <c r="AK178" s="57"/>
      <c r="AL178" s="38"/>
      <c r="AM178" s="37"/>
      <c r="AO178" s="2"/>
      <c r="AP178" s="57"/>
      <c r="AQ178" s="15"/>
      <c r="AR178" s="35"/>
      <c r="AS178" s="23"/>
      <c r="AT178" s="67"/>
      <c r="AU178" s="33"/>
    </row>
    <row r="179" spans="1:47" x14ac:dyDescent="0.25">
      <c r="A179" s="31" t="s">
        <v>73</v>
      </c>
      <c r="B179" s="129"/>
      <c r="C179" s="127"/>
      <c r="D179" s="147">
        <v>6935</v>
      </c>
      <c r="E179" s="17" t="s">
        <v>74</v>
      </c>
      <c r="F179" s="67"/>
      <c r="G179" s="129"/>
      <c r="H179" s="127"/>
      <c r="I179" s="168"/>
      <c r="J179" s="17"/>
      <c r="K179" s="67"/>
      <c r="L179" s="129"/>
      <c r="M179" s="127"/>
      <c r="N179" s="168"/>
      <c r="O179" s="17"/>
      <c r="P179" s="67"/>
      <c r="Q179" s="121"/>
      <c r="R179" s="122"/>
      <c r="S179" s="122"/>
      <c r="T179" s="23"/>
      <c r="U179" s="67"/>
      <c r="V179" s="68"/>
      <c r="W179" s="11"/>
      <c r="X179" s="41"/>
      <c r="Y179" s="23"/>
      <c r="Z179" s="67"/>
      <c r="AA179" s="121"/>
      <c r="AB179" s="203"/>
      <c r="AC179" s="204"/>
      <c r="AE179" s="67"/>
      <c r="AF179" s="121"/>
      <c r="AG179" s="122"/>
      <c r="AH179" s="122"/>
      <c r="AI179" s="23"/>
      <c r="AJ179" s="67"/>
      <c r="AK179" s="57"/>
      <c r="AL179" s="38"/>
      <c r="AM179" s="37"/>
      <c r="AO179" s="2"/>
      <c r="AP179" s="57"/>
      <c r="AQ179" s="15"/>
      <c r="AR179" s="35"/>
      <c r="AS179" s="23"/>
      <c r="AT179" s="67"/>
      <c r="AU179" s="33"/>
    </row>
    <row r="180" spans="1:47" x14ac:dyDescent="0.25">
      <c r="A180" s="31" t="s">
        <v>165</v>
      </c>
      <c r="B180" s="129"/>
      <c r="C180" s="127"/>
      <c r="D180" s="147">
        <v>15</v>
      </c>
      <c r="E180" s="17" t="s">
        <v>90</v>
      </c>
      <c r="F180" s="67"/>
      <c r="G180" s="129"/>
      <c r="H180" s="127"/>
      <c r="I180" s="168"/>
      <c r="J180" s="17"/>
      <c r="K180" s="67"/>
      <c r="L180" s="129"/>
      <c r="M180" s="127"/>
      <c r="N180" s="168"/>
      <c r="O180" s="17"/>
      <c r="P180" s="67"/>
      <c r="Q180" s="121"/>
      <c r="R180" s="122"/>
      <c r="S180" s="122"/>
      <c r="T180" s="23"/>
      <c r="U180" s="67"/>
      <c r="V180" s="68"/>
      <c r="W180" s="11"/>
      <c r="X180" s="41"/>
      <c r="Y180" s="23"/>
      <c r="Z180" s="67"/>
      <c r="AA180" s="121"/>
      <c r="AB180" s="203"/>
      <c r="AC180" s="204"/>
      <c r="AE180" s="67"/>
      <c r="AF180" s="121"/>
      <c r="AG180" s="122"/>
      <c r="AH180" s="122"/>
      <c r="AI180" s="23"/>
      <c r="AJ180" s="67"/>
      <c r="AK180" s="57"/>
      <c r="AL180" s="38"/>
      <c r="AM180" s="37"/>
      <c r="AO180" s="2"/>
      <c r="AP180" s="57"/>
      <c r="AQ180" s="15"/>
      <c r="AR180" s="35"/>
      <c r="AS180" s="23"/>
      <c r="AT180" s="67"/>
      <c r="AU180" s="33"/>
    </row>
    <row r="181" spans="1:47" x14ac:dyDescent="0.25">
      <c r="A181" s="31" t="s">
        <v>164</v>
      </c>
      <c r="B181" s="129"/>
      <c r="C181" s="127"/>
      <c r="D181" s="147">
        <f>629+165+50+470+715+430+150+315+185+60</f>
        <v>3169</v>
      </c>
      <c r="E181" s="17" t="s">
        <v>169</v>
      </c>
      <c r="F181" s="67"/>
      <c r="G181" s="129"/>
      <c r="H181" s="127"/>
      <c r="I181" s="168"/>
      <c r="J181" s="17"/>
      <c r="K181" s="67"/>
      <c r="L181" s="129"/>
      <c r="M181" s="127"/>
      <c r="N181" s="168"/>
      <c r="O181" s="17"/>
      <c r="P181" s="67"/>
      <c r="Q181" s="121"/>
      <c r="R181" s="122"/>
      <c r="S181" s="122"/>
      <c r="T181" s="23"/>
      <c r="U181" s="67"/>
      <c r="V181" s="68"/>
      <c r="W181" s="11"/>
      <c r="X181" s="41"/>
      <c r="Y181" s="23"/>
      <c r="Z181" s="67"/>
      <c r="AA181" s="121"/>
      <c r="AB181" s="203"/>
      <c r="AC181" s="204"/>
      <c r="AE181" s="67"/>
      <c r="AF181" s="33"/>
      <c r="AI181" s="23"/>
      <c r="AJ181" s="67"/>
      <c r="AK181" s="57"/>
      <c r="AL181" s="38"/>
      <c r="AM181" s="37"/>
      <c r="AO181" s="2"/>
      <c r="AP181" s="57"/>
      <c r="AQ181" s="15"/>
      <c r="AR181" s="35"/>
      <c r="AS181" s="23"/>
      <c r="AT181" s="67"/>
      <c r="AU181" s="33"/>
    </row>
    <row r="182" spans="1:47" x14ac:dyDescent="0.25">
      <c r="A182" s="31" t="s">
        <v>166</v>
      </c>
      <c r="B182" s="129"/>
      <c r="C182" s="127"/>
      <c r="D182" s="147">
        <v>75</v>
      </c>
      <c r="E182" s="17" t="s">
        <v>79</v>
      </c>
      <c r="F182" s="67"/>
      <c r="G182" s="129"/>
      <c r="H182" s="127"/>
      <c r="I182" s="168"/>
      <c r="J182" s="17"/>
      <c r="K182" s="67"/>
      <c r="L182" s="129"/>
      <c r="M182" s="127"/>
      <c r="N182" s="168"/>
      <c r="O182" s="17"/>
      <c r="P182" s="67"/>
      <c r="Q182" s="121"/>
      <c r="R182" s="122"/>
      <c r="S182" s="122"/>
      <c r="T182" s="23"/>
      <c r="U182" s="67"/>
      <c r="V182" s="68"/>
      <c r="W182" s="11"/>
      <c r="X182" s="41"/>
      <c r="Y182" s="23"/>
      <c r="Z182" s="67"/>
      <c r="AA182" s="121"/>
      <c r="AB182" s="203"/>
      <c r="AC182" s="204"/>
      <c r="AE182" s="67"/>
      <c r="AF182" s="33"/>
      <c r="AI182" s="23"/>
      <c r="AJ182" s="67"/>
      <c r="AK182" s="57"/>
      <c r="AL182" s="38"/>
      <c r="AM182" s="37"/>
      <c r="AO182" s="2"/>
      <c r="AP182" s="57"/>
      <c r="AQ182" s="15"/>
      <c r="AR182" s="35"/>
      <c r="AS182" s="23"/>
      <c r="AT182" s="67"/>
      <c r="AU182" s="33"/>
    </row>
    <row r="183" spans="1:47" x14ac:dyDescent="0.25">
      <c r="A183" s="31" t="s">
        <v>167</v>
      </c>
      <c r="B183" s="129"/>
      <c r="C183" s="127"/>
      <c r="D183" s="147">
        <f>2170+215+200+30</f>
        <v>2615</v>
      </c>
      <c r="E183" s="17" t="s">
        <v>168</v>
      </c>
      <c r="F183" s="67"/>
      <c r="G183" s="129"/>
      <c r="H183" s="127"/>
      <c r="I183" s="168"/>
      <c r="J183" s="17"/>
      <c r="K183" s="67"/>
      <c r="L183" s="129"/>
      <c r="M183" s="127"/>
      <c r="N183" s="168"/>
      <c r="O183" s="17"/>
      <c r="P183" s="67"/>
      <c r="Q183" s="121"/>
      <c r="R183" s="122"/>
      <c r="S183" s="122"/>
      <c r="T183" s="23"/>
      <c r="U183" s="67"/>
      <c r="V183" s="68"/>
      <c r="W183" s="11"/>
      <c r="X183" s="41"/>
      <c r="Y183" s="23"/>
      <c r="Z183" s="67"/>
      <c r="AA183" s="121"/>
      <c r="AB183" s="203"/>
      <c r="AC183" s="204"/>
      <c r="AE183" s="67"/>
      <c r="AF183" s="33"/>
      <c r="AI183" s="23"/>
      <c r="AJ183" s="67"/>
      <c r="AK183" s="57"/>
      <c r="AL183" s="38"/>
      <c r="AM183" s="37"/>
      <c r="AO183" s="2"/>
      <c r="AP183" s="57"/>
      <c r="AQ183" s="15"/>
      <c r="AR183" s="35"/>
      <c r="AS183" s="23"/>
      <c r="AT183" s="67"/>
      <c r="AU183" s="33"/>
    </row>
    <row r="184" spans="1:47" x14ac:dyDescent="0.25">
      <c r="A184" s="47" t="s">
        <v>76</v>
      </c>
      <c r="B184" s="148"/>
      <c r="C184" s="149"/>
      <c r="D184" s="147">
        <v>1600</v>
      </c>
      <c r="E184" s="22" t="s">
        <v>77</v>
      </c>
      <c r="F184" s="94"/>
      <c r="G184" s="169"/>
      <c r="H184" s="170"/>
      <c r="I184" s="168"/>
      <c r="J184" s="22"/>
      <c r="K184" s="94"/>
      <c r="L184" s="169"/>
      <c r="M184" s="170"/>
      <c r="N184" s="168"/>
      <c r="O184" s="22"/>
      <c r="P184" s="94"/>
      <c r="Q184" s="121"/>
      <c r="R184" s="122"/>
      <c r="S184" s="122"/>
      <c r="T184" s="23"/>
      <c r="U184" s="67"/>
      <c r="V184" s="68"/>
      <c r="W184" s="11"/>
      <c r="X184" s="41"/>
      <c r="Y184" s="23"/>
      <c r="Z184" s="67"/>
      <c r="AA184" s="33"/>
      <c r="AB184" s="16"/>
      <c r="AC184" s="20"/>
      <c r="AE184" s="67"/>
      <c r="AF184" s="33"/>
      <c r="AI184" s="23"/>
      <c r="AJ184" s="67"/>
      <c r="AK184" s="57"/>
      <c r="AL184" s="38"/>
      <c r="AM184" s="37"/>
      <c r="AO184" s="2"/>
      <c r="AP184" s="57"/>
      <c r="AQ184" s="15"/>
      <c r="AR184" s="35"/>
      <c r="AS184" s="23"/>
      <c r="AT184" s="67"/>
      <c r="AU184" s="33"/>
    </row>
    <row r="185" spans="1:47" x14ac:dyDescent="0.25">
      <c r="B185" s="121"/>
      <c r="C185" s="122"/>
      <c r="D185" s="122"/>
      <c r="E185" s="23"/>
      <c r="F185" s="67"/>
      <c r="G185" s="171"/>
      <c r="H185" s="172"/>
      <c r="I185" s="172"/>
      <c r="J185" s="23"/>
      <c r="K185" s="67"/>
      <c r="L185" s="171"/>
      <c r="M185" s="172"/>
      <c r="N185" s="172"/>
      <c r="O185" s="23"/>
      <c r="P185" s="23"/>
      <c r="Q185" s="121"/>
      <c r="R185" s="122"/>
      <c r="S185" s="122"/>
      <c r="T185" s="23"/>
      <c r="U185" s="67"/>
      <c r="V185" s="68"/>
      <c r="W185" s="11"/>
      <c r="X185" s="41"/>
      <c r="Y185" s="23"/>
      <c r="Z185" s="67"/>
      <c r="AA185" s="33"/>
      <c r="AB185" s="16"/>
      <c r="AC185" s="20"/>
      <c r="AE185" s="67"/>
      <c r="AF185" s="33"/>
      <c r="AI185" s="23"/>
      <c r="AJ185" s="67"/>
      <c r="AK185" s="57"/>
      <c r="AL185" s="38"/>
      <c r="AM185" s="37"/>
      <c r="AO185" s="2"/>
      <c r="AP185" s="57"/>
      <c r="AQ185" s="15"/>
      <c r="AR185" s="35"/>
      <c r="AT185" s="2"/>
      <c r="AU185" s="33"/>
    </row>
    <row r="186" spans="1:47" x14ac:dyDescent="0.25">
      <c r="B186" s="121"/>
      <c r="C186" s="122"/>
      <c r="D186" s="122"/>
      <c r="E186" s="23"/>
      <c r="F186" s="23"/>
      <c r="G186" s="33"/>
      <c r="J186" s="23"/>
      <c r="K186" s="67"/>
      <c r="L186" s="121"/>
      <c r="M186" s="122"/>
      <c r="N186" s="122"/>
      <c r="O186" s="23"/>
      <c r="P186" s="23"/>
      <c r="Q186" s="121"/>
      <c r="R186" s="122"/>
      <c r="S186" s="122"/>
      <c r="T186" s="23"/>
      <c r="U186" s="67"/>
      <c r="V186" s="68"/>
      <c r="W186" s="11"/>
      <c r="X186" s="41"/>
      <c r="Y186" s="23"/>
      <c r="Z186" s="67"/>
      <c r="AA186" s="33"/>
      <c r="AB186" s="16"/>
      <c r="AC186" s="20"/>
      <c r="AE186" s="67"/>
      <c r="AF186" s="33"/>
      <c r="AI186" s="23"/>
      <c r="AJ186" s="67"/>
      <c r="AK186" s="57"/>
      <c r="AL186" s="38"/>
      <c r="AM186" s="37"/>
      <c r="AO186" s="2"/>
      <c r="AP186" s="57"/>
      <c r="AQ186" s="15"/>
      <c r="AR186" s="35"/>
      <c r="AT186" s="2"/>
      <c r="AU186" s="33"/>
    </row>
    <row r="187" spans="1:47" x14ac:dyDescent="0.25">
      <c r="B187" s="33"/>
      <c r="E187" s="23"/>
      <c r="F187" s="23"/>
      <c r="G187" s="33"/>
      <c r="J187" s="23"/>
      <c r="K187" s="67"/>
      <c r="L187" s="33"/>
      <c r="M187" s="23"/>
      <c r="N187" s="23"/>
      <c r="O187" s="23"/>
      <c r="P187" s="23"/>
      <c r="Q187" s="33"/>
      <c r="T187" s="23"/>
      <c r="U187" s="67"/>
      <c r="V187" s="68"/>
      <c r="W187" s="11"/>
      <c r="X187" s="41"/>
      <c r="Y187" s="23"/>
      <c r="Z187" s="67"/>
      <c r="AA187" s="33"/>
      <c r="AB187" s="16"/>
      <c r="AC187" s="20"/>
      <c r="AE187" s="67"/>
      <c r="AF187" s="33"/>
      <c r="AI187" s="23"/>
      <c r="AJ187" s="67"/>
      <c r="AK187" s="57"/>
      <c r="AL187" s="38"/>
      <c r="AM187" s="37"/>
      <c r="AO187" s="2"/>
      <c r="AP187" s="57"/>
      <c r="AQ187" s="15"/>
      <c r="AR187" s="35"/>
      <c r="AT187" s="2"/>
      <c r="AU187" s="33"/>
    </row>
    <row r="188" spans="1:47" x14ac:dyDescent="0.25">
      <c r="B188" s="33" t="s">
        <v>181</v>
      </c>
      <c r="E188" s="23"/>
      <c r="F188" s="23"/>
      <c r="G188" s="33" t="s">
        <v>181</v>
      </c>
      <c r="J188" s="23"/>
      <c r="K188" s="67"/>
      <c r="L188" s="33"/>
      <c r="M188" s="23"/>
      <c r="N188" s="23"/>
      <c r="O188" s="23"/>
      <c r="P188" s="23"/>
      <c r="Q188" s="33" t="s">
        <v>180</v>
      </c>
      <c r="T188" s="23"/>
      <c r="U188" s="67"/>
      <c r="V188" s="68" t="s">
        <v>187</v>
      </c>
      <c r="W188" s="11"/>
      <c r="X188" s="41"/>
      <c r="Y188" s="23"/>
      <c r="Z188" s="67"/>
      <c r="AA188" s="33" t="s">
        <v>187</v>
      </c>
      <c r="AB188" s="16"/>
      <c r="AC188" s="20"/>
      <c r="AE188" s="67"/>
      <c r="AF188" s="33" t="s">
        <v>180</v>
      </c>
      <c r="AI188" s="23"/>
      <c r="AJ188" s="67"/>
      <c r="AK188" s="57" t="s">
        <v>187</v>
      </c>
      <c r="AL188" s="15"/>
      <c r="AM188" s="35"/>
      <c r="AN188" s="23"/>
      <c r="AO188" s="2"/>
      <c r="AP188" s="57" t="s">
        <v>187</v>
      </c>
      <c r="AQ188" s="15"/>
      <c r="AR188" s="35"/>
      <c r="AT188" s="2"/>
      <c r="AU188" s="33"/>
    </row>
    <row r="189" spans="1:47" x14ac:dyDescent="0.25">
      <c r="B189" t="s">
        <v>182</v>
      </c>
      <c r="E189" s="23"/>
      <c r="F189" s="23"/>
      <c r="G189" s="42" t="s">
        <v>262</v>
      </c>
      <c r="J189" s="23"/>
      <c r="K189" s="67"/>
      <c r="L189" s="42" t="s">
        <v>255</v>
      </c>
      <c r="M189" s="23"/>
      <c r="N189" s="23"/>
      <c r="O189" s="23"/>
      <c r="P189" s="23"/>
      <c r="Q189" s="42" t="s">
        <v>176</v>
      </c>
      <c r="T189" s="23"/>
      <c r="U189" s="67"/>
      <c r="V189" s="188" t="s">
        <v>188</v>
      </c>
      <c r="W189" s="11"/>
      <c r="X189" s="41"/>
      <c r="Y189" s="23"/>
      <c r="Z189" s="67"/>
      <c r="AA189" s="42" t="s">
        <v>189</v>
      </c>
      <c r="AB189" s="16"/>
      <c r="AC189" s="20"/>
      <c r="AE189" s="67"/>
      <c r="AF189" s="42" t="s">
        <v>259</v>
      </c>
      <c r="AI189" s="23"/>
      <c r="AJ189" s="67"/>
      <c r="AK189" s="107" t="s">
        <v>258</v>
      </c>
      <c r="AL189" s="15"/>
      <c r="AM189" s="35"/>
      <c r="AN189" s="23"/>
      <c r="AO189" s="2"/>
      <c r="AP189" s="107" t="s">
        <v>189</v>
      </c>
      <c r="AQ189" s="15"/>
      <c r="AR189" s="35"/>
      <c r="AT189" s="2"/>
      <c r="AU189" s="33"/>
    </row>
    <row r="190" spans="1:47" x14ac:dyDescent="0.25">
      <c r="B190" s="33"/>
      <c r="E190" s="23"/>
      <c r="F190" s="23"/>
      <c r="G190" s="33"/>
      <c r="J190" s="23"/>
      <c r="K190" s="67"/>
      <c r="L190" s="33"/>
      <c r="M190" s="23"/>
      <c r="N190" s="23"/>
      <c r="O190" s="23"/>
      <c r="P190" s="23"/>
      <c r="Q190" s="42" t="s">
        <v>177</v>
      </c>
      <c r="T190" s="23"/>
      <c r="U190" s="67"/>
      <c r="V190" s="68"/>
      <c r="W190" s="11"/>
      <c r="X190" s="41"/>
      <c r="Y190" s="23"/>
      <c r="Z190" s="67"/>
      <c r="AA190" s="33"/>
      <c r="AB190" s="16"/>
      <c r="AC190" s="20"/>
      <c r="AE190" s="67"/>
      <c r="AF190" s="42" t="s">
        <v>177</v>
      </c>
      <c r="AI190" s="23"/>
      <c r="AJ190" s="67"/>
      <c r="AK190" s="57"/>
      <c r="AL190" s="15"/>
      <c r="AM190" s="35"/>
      <c r="AN190" s="23"/>
      <c r="AO190" s="2"/>
      <c r="AP190" s="57"/>
      <c r="AQ190" s="15"/>
      <c r="AR190" s="35"/>
      <c r="AT190" s="2"/>
      <c r="AU190" s="33"/>
    </row>
    <row r="191" spans="1:47" x14ac:dyDescent="0.25">
      <c r="B191" s="33"/>
      <c r="E191" s="23"/>
      <c r="F191" s="23"/>
      <c r="G191" s="33"/>
      <c r="J191" s="23"/>
      <c r="K191" s="67"/>
      <c r="L191" s="33"/>
      <c r="M191" s="23"/>
      <c r="N191" s="23"/>
      <c r="O191" s="23"/>
      <c r="P191" s="23"/>
      <c r="Q191" s="42" t="s">
        <v>178</v>
      </c>
      <c r="T191" s="23"/>
      <c r="U191" s="67"/>
      <c r="V191" s="68"/>
      <c r="W191" s="11"/>
      <c r="X191" s="41"/>
      <c r="Y191" s="23"/>
      <c r="Z191" s="67"/>
      <c r="AA191" s="33"/>
      <c r="AB191" s="16"/>
      <c r="AC191" s="20"/>
      <c r="AE191" s="67"/>
      <c r="AF191" s="42" t="s">
        <v>260</v>
      </c>
      <c r="AI191" s="23"/>
      <c r="AJ191" s="67"/>
      <c r="AK191" s="57"/>
      <c r="AL191" s="15"/>
      <c r="AM191" s="35"/>
      <c r="AN191" s="23"/>
      <c r="AO191" s="2"/>
      <c r="AP191" s="57"/>
      <c r="AQ191" s="15"/>
      <c r="AR191" s="35"/>
      <c r="AT191" s="2"/>
      <c r="AU191" s="33"/>
    </row>
    <row r="192" spans="1:47" x14ac:dyDescent="0.25">
      <c r="B192" s="33"/>
      <c r="E192" s="23"/>
      <c r="F192" s="23"/>
      <c r="G192" s="33"/>
      <c r="J192" s="23"/>
      <c r="K192" s="23"/>
      <c r="L192" s="33"/>
      <c r="M192" s="23"/>
      <c r="N192" s="23"/>
      <c r="O192" s="23"/>
      <c r="P192" s="23"/>
      <c r="Q192" s="42" t="s">
        <v>179</v>
      </c>
      <c r="T192" s="23"/>
      <c r="U192" s="67"/>
      <c r="V192" s="68"/>
      <c r="W192" s="11"/>
      <c r="X192" s="41"/>
      <c r="Y192" s="23"/>
      <c r="Z192" s="67"/>
      <c r="AA192" s="33"/>
      <c r="AB192" s="16"/>
      <c r="AC192" s="20"/>
      <c r="AE192" s="67"/>
      <c r="AF192" s="42" t="s">
        <v>179</v>
      </c>
      <c r="AI192" s="23"/>
      <c r="AJ192" s="67"/>
      <c r="AK192" s="57"/>
      <c r="AL192" s="15"/>
      <c r="AM192" s="35"/>
      <c r="AN192" s="23"/>
      <c r="AO192" s="2"/>
      <c r="AP192" s="57"/>
      <c r="AQ192" s="15"/>
      <c r="AR192" s="35"/>
      <c r="AT192" s="2"/>
      <c r="AU192" s="33"/>
    </row>
    <row r="193" spans="2:47" x14ac:dyDescent="0.25">
      <c r="B193" s="33"/>
      <c r="E193" s="23"/>
      <c r="F193" s="23"/>
      <c r="G193" s="33"/>
      <c r="J193" s="23"/>
      <c r="K193" s="23"/>
      <c r="L193" s="33"/>
      <c r="M193" s="23"/>
      <c r="N193" s="23"/>
      <c r="O193" s="23"/>
      <c r="P193" s="23"/>
      <c r="Q193" s="42"/>
      <c r="T193" s="23"/>
      <c r="U193" s="67"/>
      <c r="V193" s="33"/>
      <c r="X193" s="2"/>
      <c r="Y193" s="23"/>
      <c r="Z193" s="67"/>
      <c r="AA193" s="33"/>
      <c r="AB193" s="16"/>
      <c r="AC193" s="20"/>
      <c r="AE193" s="67"/>
      <c r="AF193" s="42"/>
      <c r="AI193" s="23"/>
      <c r="AJ193" s="67"/>
      <c r="AK193" s="57"/>
      <c r="AL193" s="15"/>
      <c r="AM193" s="35"/>
      <c r="AN193" s="23"/>
      <c r="AO193" s="2"/>
      <c r="AP193" s="57"/>
      <c r="AQ193" s="15"/>
      <c r="AR193" s="35"/>
      <c r="AT193" s="2"/>
      <c r="AU193" s="33"/>
    </row>
    <row r="194" spans="2:47" x14ac:dyDescent="0.25">
      <c r="B194" s="33"/>
      <c r="E194" s="23"/>
      <c r="F194" s="23"/>
      <c r="G194" s="33"/>
      <c r="J194" s="23"/>
      <c r="K194" s="23"/>
      <c r="L194" s="33"/>
      <c r="M194" s="23"/>
      <c r="N194" s="23"/>
      <c r="O194" s="23"/>
      <c r="P194" s="23"/>
      <c r="Q194" s="33"/>
      <c r="T194" s="23"/>
      <c r="U194" s="67"/>
      <c r="V194" s="33"/>
      <c r="X194" s="2"/>
      <c r="Y194" s="23"/>
      <c r="Z194" s="67"/>
      <c r="AA194" s="33"/>
      <c r="AB194" s="16"/>
      <c r="AC194" s="20"/>
      <c r="AE194" s="67"/>
      <c r="AF194" s="33"/>
      <c r="AI194" s="23"/>
      <c r="AJ194" s="67"/>
      <c r="AK194" s="57"/>
      <c r="AL194" s="15"/>
      <c r="AM194" s="35"/>
      <c r="AN194" s="23"/>
      <c r="AO194" s="2"/>
      <c r="AP194" s="57"/>
      <c r="AQ194" s="15"/>
      <c r="AR194" s="35"/>
      <c r="AT194" s="2"/>
      <c r="AU194" s="33"/>
    </row>
    <row r="195" spans="2:47" x14ac:dyDescent="0.25">
      <c r="B195" s="33" t="s">
        <v>183</v>
      </c>
      <c r="E195" s="23"/>
      <c r="F195" s="23"/>
      <c r="G195" s="33" t="s">
        <v>183</v>
      </c>
      <c r="J195" s="23"/>
      <c r="K195" s="23"/>
      <c r="L195" s="33" t="s">
        <v>183</v>
      </c>
      <c r="M195" s="23"/>
      <c r="N195" s="23"/>
      <c r="O195" s="23"/>
      <c r="P195" s="23"/>
      <c r="Q195" s="33" t="s">
        <v>183</v>
      </c>
      <c r="T195" s="23"/>
      <c r="U195" s="67"/>
      <c r="V195" s="33" t="s">
        <v>183</v>
      </c>
      <c r="X195" s="2"/>
      <c r="Y195" s="23"/>
      <c r="Z195" s="67"/>
      <c r="AA195" s="33" t="s">
        <v>183</v>
      </c>
      <c r="AB195" s="16"/>
      <c r="AC195" s="20"/>
      <c r="AE195" s="67"/>
      <c r="AF195" s="33" t="s">
        <v>183</v>
      </c>
      <c r="AI195" s="23"/>
      <c r="AJ195" s="67"/>
      <c r="AK195" s="57" t="s">
        <v>183</v>
      </c>
      <c r="AL195" s="15"/>
      <c r="AM195" s="35"/>
      <c r="AN195" s="23"/>
      <c r="AO195" s="2"/>
      <c r="AP195" s="57" t="s">
        <v>183</v>
      </c>
      <c r="AQ195" s="15"/>
      <c r="AR195" s="35"/>
      <c r="AT195" s="2"/>
      <c r="AU195" s="33"/>
    </row>
    <row r="196" spans="2:47" x14ac:dyDescent="0.25">
      <c r="B196" s="33" t="s">
        <v>184</v>
      </c>
      <c r="E196" s="23"/>
      <c r="F196" s="23"/>
      <c r="G196" s="33" t="s">
        <v>184</v>
      </c>
      <c r="J196" s="23"/>
      <c r="K196" s="23"/>
      <c r="L196" s="33" t="s">
        <v>246</v>
      </c>
      <c r="M196" s="23"/>
      <c r="N196" s="23"/>
      <c r="O196" s="23"/>
      <c r="P196" s="23"/>
      <c r="Q196" s="33" t="s">
        <v>49</v>
      </c>
      <c r="T196" s="23"/>
      <c r="U196" s="67"/>
      <c r="V196" s="33" t="s">
        <v>201</v>
      </c>
      <c r="X196" s="2"/>
      <c r="Y196" s="23"/>
      <c r="Z196" s="67"/>
      <c r="AA196" s="33" t="s">
        <v>240</v>
      </c>
      <c r="AB196" s="16"/>
      <c r="AC196" s="20"/>
      <c r="AE196" s="67"/>
      <c r="AF196" s="33" t="s">
        <v>49</v>
      </c>
      <c r="AI196" s="23"/>
      <c r="AJ196" s="67"/>
      <c r="AK196" s="57" t="s">
        <v>242</v>
      </c>
      <c r="AL196" s="15"/>
      <c r="AM196" s="35"/>
      <c r="AN196" s="23"/>
      <c r="AO196" s="2"/>
      <c r="AP196" s="57" t="s">
        <v>241</v>
      </c>
      <c r="AQ196" s="15"/>
      <c r="AR196" s="35"/>
      <c r="AT196" s="2"/>
      <c r="AU196" s="33"/>
    </row>
    <row r="197" spans="2:47" x14ac:dyDescent="0.25">
      <c r="B197" s="33" t="s">
        <v>186</v>
      </c>
      <c r="E197" s="23"/>
      <c r="F197" s="23"/>
      <c r="G197" s="33" t="s">
        <v>248</v>
      </c>
      <c r="J197" s="23"/>
      <c r="K197" s="23"/>
      <c r="L197" s="33" t="s">
        <v>247</v>
      </c>
      <c r="M197" s="23"/>
      <c r="N197" s="23"/>
      <c r="O197" s="23"/>
      <c r="P197" s="23"/>
      <c r="Q197" s="33" t="s">
        <v>49</v>
      </c>
      <c r="T197" s="23"/>
      <c r="U197" s="67"/>
      <c r="V197" s="33"/>
      <c r="X197" s="2"/>
      <c r="Y197" s="23"/>
      <c r="Z197" s="67"/>
      <c r="AA197" s="33"/>
      <c r="AB197" s="16"/>
      <c r="AC197" s="20"/>
      <c r="AE197" s="67"/>
      <c r="AF197" s="33" t="s">
        <v>49</v>
      </c>
      <c r="AI197" s="23"/>
      <c r="AJ197" s="67"/>
      <c r="AK197" s="57"/>
      <c r="AL197" s="38"/>
      <c r="AM197" s="37"/>
      <c r="AO197" s="2"/>
      <c r="AP197" s="57"/>
      <c r="AQ197" s="15"/>
      <c r="AR197" s="35"/>
      <c r="AT197" s="2"/>
      <c r="AU197" s="33"/>
    </row>
    <row r="198" spans="2:47" x14ac:dyDescent="0.25">
      <c r="B198" s="33" t="s">
        <v>200</v>
      </c>
      <c r="E198" s="23"/>
      <c r="F198" s="23"/>
      <c r="G198" s="33" t="s">
        <v>200</v>
      </c>
      <c r="J198" s="23"/>
      <c r="K198" s="23"/>
      <c r="L198" s="33" t="s">
        <v>200</v>
      </c>
      <c r="M198" s="23"/>
      <c r="N198" s="23"/>
      <c r="O198" s="23"/>
      <c r="P198" s="23"/>
      <c r="Q198" s="33" t="s">
        <v>49</v>
      </c>
      <c r="T198" s="23"/>
      <c r="U198" s="67"/>
      <c r="V198" s="33"/>
      <c r="X198" s="2"/>
      <c r="Z198" s="67"/>
      <c r="AA198" s="33"/>
      <c r="AB198" s="16"/>
      <c r="AC198" s="20"/>
      <c r="AE198" s="67"/>
      <c r="AF198" s="33"/>
      <c r="AI198" s="23"/>
      <c r="AJ198" s="67"/>
      <c r="AK198" s="57"/>
      <c r="AL198" s="38"/>
      <c r="AM198" s="37"/>
      <c r="AO198" s="2"/>
      <c r="AP198" s="57"/>
      <c r="AQ198" s="15"/>
      <c r="AR198" s="35"/>
      <c r="AT198" s="2"/>
      <c r="AU198" s="33"/>
    </row>
    <row r="199" spans="2:47" x14ac:dyDescent="0.25">
      <c r="B199" s="33" t="s">
        <v>249</v>
      </c>
      <c r="E199" s="23"/>
      <c r="F199" s="23"/>
      <c r="G199" s="33" t="s">
        <v>249</v>
      </c>
      <c r="J199" s="23"/>
      <c r="K199" s="23"/>
      <c r="L199" s="33" t="s">
        <v>249</v>
      </c>
      <c r="M199" s="23"/>
      <c r="N199" s="23"/>
      <c r="O199" s="23"/>
      <c r="P199" s="23"/>
      <c r="Q199" s="33" t="s">
        <v>49</v>
      </c>
      <c r="T199" s="23"/>
      <c r="U199" s="67"/>
      <c r="V199" s="33"/>
      <c r="X199" s="2"/>
      <c r="Z199" s="67"/>
      <c r="AA199" s="33"/>
      <c r="AB199" s="16"/>
      <c r="AC199" s="20"/>
      <c r="AE199" s="67"/>
      <c r="AF199" s="33"/>
      <c r="AI199" s="23"/>
      <c r="AJ199" s="67"/>
      <c r="AK199" s="57"/>
      <c r="AL199" s="38"/>
      <c r="AM199" s="37"/>
      <c r="AO199" s="2"/>
      <c r="AP199" s="57"/>
      <c r="AQ199" s="15"/>
      <c r="AR199" s="35"/>
      <c r="AT199" s="2"/>
      <c r="AU199" s="33"/>
    </row>
    <row r="200" spans="2:47" x14ac:dyDescent="0.25">
      <c r="B200" s="61" t="s">
        <v>261</v>
      </c>
      <c r="C200" s="62"/>
      <c r="D200" s="62"/>
      <c r="E200" s="63"/>
      <c r="F200" s="63"/>
      <c r="G200" s="61" t="s">
        <v>261</v>
      </c>
      <c r="H200" s="62"/>
      <c r="I200" s="62"/>
      <c r="J200" s="63"/>
      <c r="K200" s="63"/>
      <c r="L200" s="60"/>
      <c r="M200" s="23"/>
      <c r="N200" s="23"/>
      <c r="O200" s="23"/>
      <c r="P200" s="23"/>
      <c r="Q200" s="33" t="s">
        <v>49</v>
      </c>
      <c r="T200" s="23"/>
      <c r="U200" s="67"/>
      <c r="V200" s="33"/>
      <c r="X200" s="2"/>
      <c r="Z200" s="67"/>
      <c r="AA200" s="33"/>
      <c r="AB200" s="16"/>
      <c r="AC200" s="20"/>
      <c r="AE200" s="2"/>
      <c r="AF200" s="33"/>
      <c r="AI200" s="23"/>
      <c r="AJ200" s="67"/>
      <c r="AK200" s="57"/>
      <c r="AL200" s="38"/>
      <c r="AM200" s="37"/>
      <c r="AO200" s="2"/>
      <c r="AP200" s="57"/>
      <c r="AQ200" s="15"/>
      <c r="AR200" s="35"/>
      <c r="AT200" s="2"/>
      <c r="AU200" s="33"/>
    </row>
    <row r="201" spans="2:47" x14ac:dyDescent="0.25">
      <c r="B201" s="64" t="s">
        <v>263</v>
      </c>
      <c r="C201" s="65"/>
      <c r="D201" s="65"/>
      <c r="E201" s="66"/>
      <c r="F201" s="66"/>
      <c r="G201" s="64" t="s">
        <v>263</v>
      </c>
      <c r="H201" s="65"/>
      <c r="I201" s="65"/>
      <c r="J201" s="66"/>
      <c r="K201" s="66"/>
      <c r="L201" s="33"/>
      <c r="M201" s="23"/>
      <c r="N201" s="23"/>
      <c r="O201" s="23"/>
      <c r="P201" s="23"/>
      <c r="Q201" s="33"/>
      <c r="T201" s="23"/>
      <c r="U201" s="67"/>
      <c r="V201" s="33"/>
      <c r="W201">
        <v>1.23305</v>
      </c>
      <c r="X201" s="2"/>
      <c r="Z201" s="67"/>
      <c r="AA201" s="33"/>
      <c r="AB201" s="16"/>
      <c r="AC201" s="20"/>
      <c r="AE201" s="2"/>
      <c r="AF201" s="33"/>
      <c r="AI201" s="23"/>
      <c r="AJ201" s="67"/>
      <c r="AK201" s="57"/>
      <c r="AL201" s="38"/>
      <c r="AM201" s="37"/>
      <c r="AO201" s="2"/>
      <c r="AP201" s="57"/>
      <c r="AQ201" s="15"/>
      <c r="AR201" s="35"/>
      <c r="AT201" s="2"/>
      <c r="AU201" s="33"/>
    </row>
    <row r="202" spans="2:47" x14ac:dyDescent="0.25">
      <c r="B202" s="33"/>
      <c r="C202" s="58"/>
      <c r="D202" s="58"/>
      <c r="E202" s="25"/>
      <c r="F202" s="25"/>
      <c r="G202" s="33"/>
      <c r="J202" s="23"/>
      <c r="K202" s="23"/>
      <c r="L202" s="33"/>
      <c r="M202" s="23"/>
      <c r="N202" s="23"/>
      <c r="O202" s="23"/>
      <c r="P202" s="23"/>
      <c r="Q202" s="33"/>
      <c r="T202" s="23"/>
      <c r="U202" s="67"/>
      <c r="V202" s="33"/>
      <c r="X202" s="2"/>
      <c r="Z202" s="67"/>
      <c r="AA202" s="33"/>
      <c r="AB202" s="16"/>
      <c r="AC202" s="16"/>
      <c r="AE202" s="2"/>
      <c r="AF202" s="33"/>
      <c r="AI202" s="23"/>
      <c r="AJ202" s="67"/>
      <c r="AK202" s="57"/>
      <c r="AL202" s="38"/>
      <c r="AM202" s="37"/>
      <c r="AO202" s="2"/>
      <c r="AP202" s="57"/>
      <c r="AQ202" s="15"/>
      <c r="AR202" s="35"/>
      <c r="AT202" s="2"/>
      <c r="AU202" s="33"/>
    </row>
    <row r="203" spans="2:47" x14ac:dyDescent="0.25">
      <c r="B203" s="33"/>
      <c r="C203" s="58"/>
      <c r="D203" s="58"/>
      <c r="E203" s="25"/>
      <c r="F203" s="25"/>
      <c r="G203" s="33"/>
      <c r="J203" s="23"/>
      <c r="K203" s="23"/>
      <c r="L203" s="33"/>
      <c r="M203" s="23"/>
      <c r="N203" s="23"/>
      <c r="O203" s="23"/>
      <c r="P203" s="23"/>
      <c r="Q203" s="33"/>
      <c r="T203" s="23"/>
      <c r="U203" s="67"/>
      <c r="V203" s="33"/>
      <c r="X203" s="2"/>
      <c r="Z203" s="67"/>
      <c r="AA203" s="33"/>
      <c r="AB203" s="16"/>
      <c r="AC203" s="16"/>
      <c r="AE203" s="2"/>
      <c r="AF203" s="33"/>
      <c r="AI203" s="23"/>
      <c r="AJ203" s="67"/>
      <c r="AK203" s="57"/>
      <c r="AL203" s="38"/>
      <c r="AM203" s="37"/>
      <c r="AO203" s="2"/>
      <c r="AP203" s="57"/>
      <c r="AQ203" s="15"/>
      <c r="AR203" s="35"/>
      <c r="AT203" s="2"/>
      <c r="AU203" s="33"/>
    </row>
    <row r="204" spans="2:47" x14ac:dyDescent="0.25">
      <c r="B204" s="33"/>
      <c r="E204" s="23"/>
      <c r="F204" s="23"/>
      <c r="G204" s="33"/>
      <c r="J204" s="23"/>
      <c r="K204" s="23"/>
      <c r="L204" s="33"/>
      <c r="M204" s="23"/>
      <c r="N204" s="23"/>
      <c r="O204" s="23"/>
      <c r="P204" s="23"/>
      <c r="Q204" s="33"/>
      <c r="T204" s="23"/>
      <c r="U204" s="67"/>
      <c r="V204" s="33"/>
      <c r="X204" s="2"/>
      <c r="Z204" s="67"/>
      <c r="AA204" s="33"/>
      <c r="AB204" s="16"/>
      <c r="AC204" s="16"/>
      <c r="AE204" s="2"/>
      <c r="AF204" s="33"/>
      <c r="AI204" s="23"/>
      <c r="AJ204" s="67"/>
      <c r="AK204" s="57"/>
      <c r="AL204" s="38"/>
      <c r="AM204" s="37"/>
      <c r="AO204" s="2"/>
      <c r="AP204" s="57"/>
      <c r="AQ204" s="15"/>
      <c r="AR204" s="35"/>
      <c r="AT204" s="2"/>
      <c r="AU204" s="33"/>
    </row>
    <row r="205" spans="2:47" x14ac:dyDescent="0.25">
      <c r="B205" s="33"/>
      <c r="E205" s="23"/>
      <c r="F205" s="23"/>
      <c r="G205" s="33"/>
      <c r="J205" s="23"/>
      <c r="K205" s="23"/>
      <c r="L205" s="33"/>
      <c r="M205" s="23"/>
      <c r="N205" s="23"/>
      <c r="O205" s="23"/>
      <c r="P205" s="23"/>
      <c r="Q205" s="33"/>
      <c r="T205" s="23"/>
      <c r="U205" s="67"/>
      <c r="V205" s="33"/>
      <c r="X205" s="2"/>
      <c r="Z205" s="67"/>
      <c r="AA205" s="33"/>
      <c r="AB205" s="16"/>
      <c r="AC205" s="16"/>
      <c r="AE205" s="2"/>
      <c r="AF205" s="33"/>
      <c r="AI205" s="23"/>
      <c r="AJ205" s="67"/>
      <c r="AK205" s="57"/>
      <c r="AL205" s="38"/>
      <c r="AM205" s="37"/>
      <c r="AO205" s="2"/>
      <c r="AP205" s="57"/>
      <c r="AQ205" s="15"/>
      <c r="AR205" s="35"/>
      <c r="AT205" s="2"/>
      <c r="AU205" s="33"/>
    </row>
    <row r="206" spans="2:47" x14ac:dyDescent="0.25">
      <c r="B206" s="33"/>
      <c r="E206" s="23"/>
      <c r="F206" s="23"/>
      <c r="G206" s="33"/>
      <c r="J206" s="23"/>
      <c r="K206" s="23"/>
      <c r="L206" s="33"/>
      <c r="M206" s="23"/>
      <c r="N206" s="23"/>
      <c r="O206" s="23"/>
      <c r="P206" s="23"/>
      <c r="Q206" s="33"/>
      <c r="U206" s="67"/>
      <c r="V206" s="33"/>
      <c r="X206" s="2"/>
      <c r="Z206" s="67"/>
      <c r="AA206" s="33"/>
      <c r="AB206" s="16"/>
      <c r="AC206" s="16"/>
      <c r="AE206" s="2"/>
      <c r="AF206" s="33"/>
      <c r="AJ206" s="67"/>
      <c r="AK206" s="57"/>
      <c r="AL206" s="38"/>
      <c r="AM206" s="37"/>
      <c r="AO206" s="2"/>
      <c r="AP206" s="57"/>
      <c r="AQ206" s="15"/>
      <c r="AR206" s="35"/>
      <c r="AT206" s="2"/>
      <c r="AU206" s="33"/>
    </row>
    <row r="207" spans="2:47" x14ac:dyDescent="0.25">
      <c r="B207" s="33"/>
      <c r="E207" s="23"/>
      <c r="F207" s="23"/>
      <c r="G207" s="33"/>
      <c r="J207" s="23"/>
      <c r="K207" s="23"/>
      <c r="L207" s="33"/>
      <c r="M207" s="23"/>
      <c r="N207" s="23"/>
      <c r="O207" s="23"/>
      <c r="P207" s="23"/>
      <c r="Q207" s="33"/>
      <c r="U207" s="67"/>
      <c r="V207" s="33"/>
      <c r="X207" s="2"/>
      <c r="Z207" s="67"/>
      <c r="AA207" s="33"/>
      <c r="AB207" s="16"/>
      <c r="AC207" s="16"/>
      <c r="AE207" s="2"/>
      <c r="AF207" s="33"/>
      <c r="AJ207" s="67"/>
      <c r="AK207" s="57"/>
      <c r="AL207" s="38"/>
      <c r="AM207" s="37"/>
      <c r="AO207" s="2"/>
      <c r="AP207" s="57"/>
      <c r="AQ207" s="15"/>
      <c r="AR207" s="35"/>
      <c r="AT207" s="2"/>
      <c r="AU207" s="33"/>
    </row>
    <row r="208" spans="2:47" x14ac:dyDescent="0.25">
      <c r="B208" s="33"/>
      <c r="E208" s="23"/>
      <c r="F208" s="23"/>
      <c r="G208" s="33"/>
      <c r="J208" s="23"/>
      <c r="K208" s="23"/>
      <c r="L208" s="33"/>
      <c r="M208" s="23"/>
      <c r="N208" s="23"/>
      <c r="O208" s="23"/>
      <c r="P208" s="23"/>
      <c r="Q208" s="33"/>
      <c r="U208" s="67"/>
      <c r="V208" s="33"/>
      <c r="X208" s="2"/>
      <c r="Z208" s="67"/>
      <c r="AA208" s="33"/>
      <c r="AB208" s="16"/>
      <c r="AC208" s="16"/>
      <c r="AE208" s="2"/>
      <c r="AF208" s="33"/>
      <c r="AJ208" s="67"/>
      <c r="AK208" s="57"/>
      <c r="AL208" s="38"/>
      <c r="AM208" s="37"/>
      <c r="AO208" s="2"/>
      <c r="AP208" s="57"/>
      <c r="AQ208" s="15"/>
      <c r="AR208" s="35"/>
      <c r="AT208" s="2"/>
      <c r="AU208" s="33"/>
    </row>
    <row r="209" spans="2:47" x14ac:dyDescent="0.25">
      <c r="B209" s="33"/>
      <c r="E209" s="23"/>
      <c r="F209" s="23"/>
      <c r="G209" s="33"/>
      <c r="H209" s="23"/>
      <c r="I209" s="23"/>
      <c r="J209" s="23"/>
      <c r="K209" s="23"/>
      <c r="L209" s="33"/>
      <c r="M209" s="23"/>
      <c r="N209" s="23"/>
      <c r="O209" s="23"/>
      <c r="P209" s="23"/>
      <c r="Q209" s="33"/>
      <c r="U209" s="67"/>
      <c r="V209" s="33"/>
      <c r="X209" s="2"/>
      <c r="Z209" s="67"/>
      <c r="AA209" s="33"/>
      <c r="AB209" s="16"/>
      <c r="AC209" s="16"/>
      <c r="AE209" s="2"/>
      <c r="AF209" s="33"/>
      <c r="AJ209" s="67"/>
      <c r="AK209" s="57"/>
      <c r="AL209" s="38"/>
      <c r="AM209" s="37"/>
      <c r="AO209" s="2"/>
      <c r="AP209" s="57"/>
      <c r="AQ209" s="15"/>
      <c r="AR209" s="35"/>
      <c r="AT209" s="2"/>
      <c r="AU209" s="33"/>
    </row>
    <row r="210" spans="2:47" x14ac:dyDescent="0.25">
      <c r="B210" s="33"/>
      <c r="E210" s="23"/>
      <c r="F210" s="23"/>
      <c r="G210" s="33"/>
      <c r="H210" s="23"/>
      <c r="I210" s="23"/>
      <c r="J210" s="23"/>
      <c r="K210" s="23"/>
      <c r="L210" s="33"/>
      <c r="M210" s="23"/>
      <c r="N210" s="23"/>
      <c r="O210" s="23"/>
      <c r="P210" s="23"/>
      <c r="Q210" s="33"/>
      <c r="U210" s="67"/>
      <c r="V210" s="33"/>
      <c r="X210" s="2"/>
      <c r="Z210" s="67"/>
      <c r="AA210" s="33"/>
      <c r="AB210" s="16"/>
      <c r="AC210" s="16"/>
      <c r="AE210" s="2"/>
      <c r="AF210" s="33"/>
      <c r="AJ210" s="67"/>
      <c r="AK210" s="57"/>
      <c r="AL210" s="38"/>
      <c r="AM210" s="37"/>
      <c r="AO210" s="2"/>
      <c r="AP210" s="57"/>
      <c r="AQ210" s="15"/>
      <c r="AR210" s="35"/>
      <c r="AT210" s="2"/>
      <c r="AU210" s="33"/>
    </row>
    <row r="211" spans="2:47" x14ac:dyDescent="0.25">
      <c r="B211" s="33"/>
      <c r="E211" s="23"/>
      <c r="F211" s="23"/>
      <c r="G211" s="33"/>
      <c r="H211" s="23"/>
      <c r="I211" s="23"/>
      <c r="J211" s="23"/>
      <c r="K211" s="23"/>
      <c r="L211" s="33"/>
      <c r="M211" s="23"/>
      <c r="N211" s="23"/>
      <c r="O211" s="23"/>
      <c r="P211" s="23"/>
      <c r="Q211" s="33"/>
      <c r="U211" s="67"/>
      <c r="V211" s="33"/>
      <c r="X211" s="2"/>
      <c r="Z211" s="67"/>
      <c r="AA211" s="33"/>
      <c r="AB211" s="16"/>
      <c r="AC211" s="16"/>
      <c r="AE211" s="2"/>
      <c r="AF211" s="33"/>
      <c r="AJ211" s="67"/>
      <c r="AK211" s="57"/>
      <c r="AL211" s="38"/>
      <c r="AM211" s="37"/>
      <c r="AO211" s="2"/>
      <c r="AP211" s="57"/>
      <c r="AQ211" s="15"/>
      <c r="AR211" s="35"/>
      <c r="AT211" s="2"/>
      <c r="AU211" s="33"/>
    </row>
    <row r="212" spans="2:47" x14ac:dyDescent="0.25">
      <c r="B212" s="33"/>
      <c r="E212" s="23"/>
      <c r="F212" s="23"/>
      <c r="G212" s="33"/>
      <c r="H212" s="23"/>
      <c r="I212" s="23"/>
      <c r="J212" s="23"/>
      <c r="K212" s="23"/>
      <c r="L212" s="33"/>
      <c r="M212" s="23"/>
      <c r="N212" s="23"/>
      <c r="O212" s="23"/>
      <c r="P212" s="23"/>
      <c r="Q212" s="33"/>
      <c r="U212" s="67"/>
      <c r="V212" s="33"/>
      <c r="X212" s="2"/>
      <c r="Z212" s="67"/>
      <c r="AA212" s="33"/>
      <c r="AB212" s="16"/>
      <c r="AC212" s="16"/>
      <c r="AE212" s="2"/>
      <c r="AF212" s="33"/>
      <c r="AJ212" s="67"/>
      <c r="AK212" s="57"/>
      <c r="AL212" s="38"/>
      <c r="AM212" s="37"/>
      <c r="AO212" s="2"/>
      <c r="AP212" s="57"/>
      <c r="AQ212" s="15"/>
      <c r="AR212" s="35"/>
      <c r="AT212" s="2"/>
      <c r="AU212" s="33"/>
    </row>
    <row r="213" spans="2:47" x14ac:dyDescent="0.25">
      <c r="B213" s="33"/>
      <c r="E213" s="23"/>
      <c r="F213" s="23"/>
      <c r="G213" s="33"/>
      <c r="H213" s="23"/>
      <c r="I213" s="23"/>
      <c r="J213" s="23"/>
      <c r="K213" s="23"/>
      <c r="L213" s="33"/>
      <c r="M213" s="23"/>
      <c r="N213" s="23"/>
      <c r="O213" s="23"/>
      <c r="P213" s="23"/>
      <c r="Q213" s="33"/>
      <c r="U213" s="67"/>
      <c r="V213" s="33"/>
      <c r="X213" s="2"/>
      <c r="Z213" s="67"/>
      <c r="AA213" s="33"/>
      <c r="AB213" s="16"/>
      <c r="AC213" s="16"/>
      <c r="AE213" s="2"/>
      <c r="AF213" s="33"/>
      <c r="AJ213" s="67"/>
      <c r="AK213" s="57"/>
      <c r="AL213" s="38"/>
      <c r="AM213" s="37"/>
      <c r="AO213" s="2"/>
      <c r="AP213" s="57"/>
      <c r="AQ213" s="15"/>
      <c r="AR213" s="35"/>
      <c r="AT213" s="2"/>
      <c r="AU213" s="33"/>
    </row>
    <row r="214" spans="2:47" x14ac:dyDescent="0.25">
      <c r="B214" s="33"/>
      <c r="E214" s="23"/>
      <c r="F214" s="23"/>
      <c r="G214" s="33"/>
      <c r="H214" s="23"/>
      <c r="I214" s="23"/>
      <c r="J214" s="23"/>
      <c r="K214" s="23"/>
      <c r="L214" s="33"/>
      <c r="M214" s="23"/>
      <c r="N214" s="23"/>
      <c r="O214" s="23"/>
      <c r="P214" s="23"/>
      <c r="Q214" s="33"/>
      <c r="U214" s="67"/>
      <c r="V214" s="33"/>
      <c r="X214" s="2"/>
      <c r="Z214" s="67"/>
      <c r="AA214" s="33"/>
      <c r="AB214" s="16"/>
      <c r="AC214" s="16"/>
      <c r="AE214" s="2"/>
      <c r="AF214" s="33"/>
      <c r="AJ214" s="67"/>
      <c r="AK214" s="57"/>
      <c r="AL214" s="38"/>
      <c r="AM214" s="37"/>
      <c r="AO214" s="2"/>
      <c r="AP214" s="57"/>
      <c r="AQ214" s="15"/>
      <c r="AR214" s="35"/>
      <c r="AT214" s="2"/>
      <c r="AU214" s="33"/>
    </row>
    <row r="215" spans="2:47" x14ac:dyDescent="0.25">
      <c r="B215" s="33"/>
      <c r="E215" s="23"/>
      <c r="F215" s="23"/>
      <c r="G215" s="33"/>
      <c r="H215" s="23"/>
      <c r="I215" s="23"/>
      <c r="J215" s="23"/>
      <c r="K215" s="23"/>
      <c r="L215" s="33"/>
      <c r="M215" s="23"/>
      <c r="N215" s="23"/>
      <c r="O215" s="23"/>
      <c r="P215" s="23"/>
      <c r="Q215" s="33"/>
      <c r="U215" s="67"/>
      <c r="V215" s="33"/>
      <c r="X215" s="2"/>
      <c r="Z215" s="67"/>
      <c r="AA215" s="33"/>
      <c r="AB215" s="16"/>
      <c r="AC215" s="16"/>
      <c r="AE215" s="2"/>
      <c r="AF215" s="33"/>
      <c r="AJ215" s="67"/>
      <c r="AK215" s="57"/>
      <c r="AL215" s="38"/>
      <c r="AM215" s="37"/>
      <c r="AO215" s="2"/>
      <c r="AP215" s="57"/>
      <c r="AQ215" s="15"/>
      <c r="AR215" s="35"/>
      <c r="AT215" s="2"/>
      <c r="AU215" s="33"/>
    </row>
    <row r="216" spans="2:47" x14ac:dyDescent="0.25">
      <c r="B216" s="33"/>
      <c r="E216" s="23"/>
      <c r="F216" s="23"/>
      <c r="G216" s="33"/>
      <c r="H216" s="23"/>
      <c r="I216" s="23"/>
      <c r="J216" s="23"/>
      <c r="K216" s="23"/>
      <c r="L216" s="33"/>
      <c r="M216" s="23"/>
      <c r="N216" s="23"/>
      <c r="O216" s="23"/>
      <c r="P216" s="23"/>
      <c r="Q216" s="33"/>
      <c r="U216" s="67"/>
      <c r="V216" s="33"/>
      <c r="X216" s="2"/>
      <c r="Z216" s="67"/>
      <c r="AA216" s="33"/>
      <c r="AB216" s="16"/>
      <c r="AC216" s="16"/>
      <c r="AE216" s="2"/>
      <c r="AF216" s="33"/>
      <c r="AJ216" s="67"/>
      <c r="AK216" s="57"/>
      <c r="AL216" s="38"/>
      <c r="AM216" s="37"/>
      <c r="AO216" s="2"/>
      <c r="AP216" s="57"/>
      <c r="AQ216" s="15"/>
      <c r="AR216" s="35"/>
      <c r="AT216" s="2"/>
      <c r="AU216" s="33"/>
    </row>
    <row r="217" spans="2:47" x14ac:dyDescent="0.25">
      <c r="B217" s="33"/>
      <c r="E217" s="23"/>
      <c r="F217" s="23"/>
      <c r="G217" s="33"/>
      <c r="H217" s="23"/>
      <c r="I217" s="23"/>
      <c r="J217" s="23"/>
      <c r="K217" s="23"/>
      <c r="L217" s="33"/>
      <c r="M217" s="23"/>
      <c r="N217" s="23"/>
      <c r="O217" s="23"/>
      <c r="P217" s="23"/>
      <c r="Q217" s="33"/>
      <c r="U217" s="67"/>
      <c r="V217" s="33"/>
      <c r="X217" s="2"/>
      <c r="Z217" s="67"/>
      <c r="AA217" s="33"/>
      <c r="AB217" s="16"/>
      <c r="AC217" s="16"/>
      <c r="AE217" s="2"/>
      <c r="AF217" s="33"/>
      <c r="AJ217" s="67"/>
      <c r="AK217" s="57"/>
      <c r="AL217" s="38"/>
      <c r="AM217" s="37"/>
      <c r="AO217" s="2"/>
      <c r="AP217" s="57"/>
      <c r="AQ217" s="15"/>
      <c r="AR217" s="35"/>
      <c r="AT217" s="2"/>
      <c r="AU217" s="33"/>
    </row>
    <row r="218" spans="2:47" x14ac:dyDescent="0.25">
      <c r="B218" s="33"/>
      <c r="E218" s="23"/>
      <c r="F218" s="14"/>
      <c r="G218" s="23"/>
      <c r="H218" s="23"/>
      <c r="I218" s="23"/>
      <c r="J218" s="23"/>
      <c r="K218" s="23"/>
      <c r="L218" s="23"/>
      <c r="M218" s="23"/>
      <c r="N218" s="23"/>
      <c r="O218" s="23"/>
      <c r="P218" s="23"/>
      <c r="Q218" s="33"/>
      <c r="U218" s="67"/>
      <c r="V218" s="33"/>
      <c r="X218" s="2"/>
      <c r="Z218" s="67"/>
      <c r="AA218" s="33"/>
      <c r="AB218" s="16"/>
      <c r="AC218" s="16"/>
      <c r="AE218" s="2"/>
      <c r="AF218" s="33"/>
      <c r="AJ218" s="67"/>
      <c r="AK218" s="57"/>
      <c r="AL218" s="38"/>
      <c r="AM218" s="37"/>
      <c r="AO218" s="2"/>
      <c r="AP218" s="57"/>
      <c r="AQ218" s="15"/>
      <c r="AR218" s="35"/>
      <c r="AT218" s="2"/>
      <c r="AU218" s="33"/>
    </row>
    <row r="219" spans="2:47" x14ac:dyDescent="0.25">
      <c r="B219" s="33"/>
      <c r="E219" s="23"/>
      <c r="F219" s="14"/>
      <c r="G219" s="23"/>
      <c r="H219" s="23"/>
      <c r="I219" s="23"/>
      <c r="J219" s="23"/>
      <c r="K219" s="23"/>
      <c r="L219" s="23"/>
      <c r="M219" s="23"/>
      <c r="N219" s="23"/>
      <c r="O219" s="23"/>
      <c r="P219" s="23"/>
      <c r="Q219" s="33"/>
      <c r="U219" s="67"/>
      <c r="V219" s="33"/>
      <c r="X219" s="2"/>
      <c r="Z219" s="67"/>
      <c r="AA219" s="33"/>
      <c r="AB219" s="16"/>
      <c r="AC219" s="16"/>
      <c r="AE219" s="2"/>
      <c r="AF219" s="33"/>
      <c r="AJ219" s="67"/>
      <c r="AK219" s="57"/>
      <c r="AL219" s="38"/>
      <c r="AM219" s="37"/>
      <c r="AO219" s="2"/>
      <c r="AP219" s="57"/>
      <c r="AQ219" s="15"/>
      <c r="AR219" s="35"/>
      <c r="AT219" s="2"/>
      <c r="AU219" s="33"/>
    </row>
    <row r="220" spans="2:47" x14ac:dyDescent="0.25">
      <c r="B220" s="33"/>
      <c r="E220" s="23"/>
      <c r="F220" s="14"/>
      <c r="G220" s="23"/>
      <c r="H220" s="23"/>
      <c r="I220" s="23"/>
      <c r="J220" s="23"/>
      <c r="K220" s="23"/>
      <c r="L220" s="23"/>
      <c r="M220" s="23"/>
      <c r="N220" s="23"/>
      <c r="O220" s="23"/>
      <c r="P220" s="23"/>
      <c r="Q220" s="33"/>
      <c r="U220" s="67"/>
      <c r="V220" s="33"/>
      <c r="X220" s="2"/>
      <c r="Z220" s="67"/>
      <c r="AA220" s="33"/>
      <c r="AB220" s="16"/>
      <c r="AC220" s="16"/>
      <c r="AE220" s="2"/>
      <c r="AF220" s="33"/>
      <c r="AJ220" s="67"/>
      <c r="AK220" s="57"/>
      <c r="AL220" s="38"/>
      <c r="AM220" s="37"/>
      <c r="AO220" s="2"/>
      <c r="AP220" s="57"/>
      <c r="AQ220" s="15"/>
      <c r="AR220" s="35"/>
      <c r="AT220" s="2"/>
      <c r="AU220" s="33"/>
    </row>
    <row r="221" spans="2:47" x14ac:dyDescent="0.25">
      <c r="B221" s="33"/>
      <c r="E221" s="23"/>
      <c r="F221" s="14"/>
      <c r="G221" s="23"/>
      <c r="H221" s="23"/>
      <c r="I221" s="23"/>
      <c r="J221" s="23"/>
      <c r="K221" s="23"/>
      <c r="L221" s="23"/>
      <c r="M221" s="23"/>
      <c r="N221" s="23"/>
      <c r="O221" s="23"/>
      <c r="P221" s="23"/>
      <c r="Q221" s="33"/>
      <c r="U221" s="67"/>
      <c r="V221" s="33"/>
      <c r="X221" s="2"/>
      <c r="Z221" s="67"/>
      <c r="AA221" s="33"/>
      <c r="AB221" s="16"/>
      <c r="AC221" s="16"/>
      <c r="AE221" s="2"/>
      <c r="AF221" s="33"/>
      <c r="AJ221" s="67"/>
      <c r="AK221" s="57"/>
      <c r="AL221" s="38"/>
      <c r="AM221" s="37"/>
      <c r="AO221" s="2"/>
      <c r="AP221" s="57"/>
      <c r="AQ221" s="15"/>
      <c r="AR221" s="35"/>
      <c r="AT221" s="2"/>
      <c r="AU221" s="33"/>
    </row>
    <row r="222" spans="2:47" x14ac:dyDescent="0.25">
      <c r="B222" s="33"/>
      <c r="E222" s="23"/>
      <c r="F222" s="14"/>
      <c r="G222" s="23"/>
      <c r="H222" s="23"/>
      <c r="I222" s="23"/>
      <c r="J222" s="23"/>
      <c r="K222" s="23"/>
      <c r="L222" s="23"/>
      <c r="M222" s="23"/>
      <c r="N222" s="23"/>
      <c r="O222" s="23"/>
      <c r="P222" s="23"/>
      <c r="Q222" s="33"/>
      <c r="U222" s="67"/>
      <c r="V222" s="33"/>
      <c r="X222" s="2"/>
      <c r="Z222" s="67"/>
      <c r="AA222" s="33"/>
      <c r="AB222" s="16"/>
      <c r="AC222" s="16"/>
      <c r="AE222" s="2"/>
      <c r="AF222" s="33"/>
      <c r="AJ222" s="67"/>
      <c r="AK222" s="57"/>
      <c r="AL222" s="38"/>
      <c r="AM222" s="37"/>
      <c r="AO222" s="2"/>
      <c r="AP222" s="57"/>
      <c r="AQ222" s="15"/>
      <c r="AR222" s="35"/>
      <c r="AT222" s="2"/>
      <c r="AU222" s="33"/>
    </row>
    <row r="223" spans="2:47" x14ac:dyDescent="0.25">
      <c r="B223" s="33"/>
      <c r="E223" s="23"/>
      <c r="F223" s="14"/>
      <c r="G223" s="23"/>
      <c r="H223" s="23"/>
      <c r="I223" s="23"/>
      <c r="J223" s="23"/>
      <c r="K223" s="23"/>
      <c r="L223" s="23"/>
      <c r="M223" s="23"/>
      <c r="N223" s="23"/>
      <c r="O223" s="23"/>
      <c r="P223" s="23"/>
      <c r="Q223" s="33"/>
      <c r="U223" s="67"/>
      <c r="V223" s="33"/>
      <c r="X223" s="2"/>
      <c r="Z223" s="67"/>
      <c r="AA223" s="33"/>
      <c r="AB223" s="16"/>
      <c r="AC223" s="16"/>
      <c r="AE223" s="2"/>
      <c r="AF223" s="33"/>
      <c r="AJ223" s="67"/>
      <c r="AK223" s="57"/>
      <c r="AL223" s="38"/>
      <c r="AM223" s="37"/>
      <c r="AO223" s="2"/>
      <c r="AP223" s="57"/>
      <c r="AQ223" s="15"/>
      <c r="AR223" s="35"/>
      <c r="AT223" s="2"/>
      <c r="AU223" s="33"/>
    </row>
    <row r="224" spans="2:47" x14ac:dyDescent="0.25">
      <c r="B224" s="33"/>
      <c r="E224" s="23"/>
      <c r="F224" s="14"/>
      <c r="G224" s="23"/>
      <c r="H224" s="23"/>
      <c r="I224" s="23"/>
      <c r="J224" s="23"/>
      <c r="K224" s="23"/>
      <c r="L224" s="23"/>
      <c r="M224" s="23"/>
      <c r="N224" s="23"/>
      <c r="O224" s="23"/>
      <c r="P224" s="23"/>
      <c r="Q224" s="33"/>
      <c r="U224" s="67"/>
      <c r="V224" s="33"/>
      <c r="X224" s="2"/>
      <c r="Z224" s="67"/>
      <c r="AA224" s="33"/>
      <c r="AB224" s="16"/>
      <c r="AC224" s="16"/>
      <c r="AE224" s="2"/>
      <c r="AF224" s="33"/>
      <c r="AJ224" s="67"/>
      <c r="AK224" s="57"/>
      <c r="AL224" s="38"/>
      <c r="AM224" s="37"/>
      <c r="AO224" s="2"/>
      <c r="AP224" s="57"/>
      <c r="AQ224" s="15"/>
      <c r="AR224" s="35"/>
      <c r="AT224" s="2"/>
      <c r="AU224" s="33"/>
    </row>
    <row r="225" spans="2:47" x14ac:dyDescent="0.25">
      <c r="B225" s="33"/>
      <c r="E225" s="23"/>
      <c r="F225" s="14"/>
      <c r="G225" s="23"/>
      <c r="H225" s="23"/>
      <c r="I225" s="23"/>
      <c r="J225" s="23"/>
      <c r="K225" s="23"/>
      <c r="L225" s="23"/>
      <c r="M225" s="23"/>
      <c r="N225" s="23"/>
      <c r="O225" s="23"/>
      <c r="P225" s="23"/>
      <c r="Q225" s="33"/>
      <c r="U225" s="67"/>
      <c r="V225" s="33"/>
      <c r="X225" s="2"/>
      <c r="Z225" s="67"/>
      <c r="AA225" s="33"/>
      <c r="AB225" s="16"/>
      <c r="AC225" s="16"/>
      <c r="AE225" s="2"/>
      <c r="AF225" s="33"/>
      <c r="AJ225" s="67"/>
      <c r="AK225" s="57"/>
      <c r="AL225" s="38"/>
      <c r="AM225" s="37"/>
      <c r="AO225" s="2"/>
      <c r="AP225" s="57"/>
      <c r="AQ225" s="15"/>
      <c r="AR225" s="35"/>
      <c r="AT225" s="2"/>
      <c r="AU225" s="33"/>
    </row>
    <row r="226" spans="2:47" x14ac:dyDescent="0.25">
      <c r="B226" s="33"/>
      <c r="E226" s="23"/>
      <c r="F226" s="14"/>
      <c r="G226" s="23"/>
      <c r="H226" s="23"/>
      <c r="I226" s="23"/>
      <c r="J226" s="23"/>
      <c r="K226" s="23"/>
      <c r="L226" s="23"/>
      <c r="M226" s="23"/>
      <c r="N226" s="23"/>
      <c r="O226" s="23"/>
      <c r="P226" s="23"/>
      <c r="Q226" s="33"/>
      <c r="U226" s="67"/>
      <c r="V226" s="33"/>
      <c r="X226" s="2"/>
      <c r="Z226" s="67"/>
      <c r="AA226" s="33"/>
      <c r="AB226" s="16"/>
      <c r="AC226" s="16"/>
      <c r="AE226" s="2"/>
      <c r="AF226" s="33"/>
      <c r="AJ226" s="67"/>
      <c r="AK226" s="57"/>
      <c r="AL226" s="38"/>
      <c r="AM226" s="37"/>
      <c r="AO226" s="2"/>
      <c r="AP226" s="57"/>
      <c r="AQ226" s="15"/>
      <c r="AR226" s="35"/>
      <c r="AT226" s="2"/>
      <c r="AU226" s="33"/>
    </row>
    <row r="227" spans="2:47" x14ac:dyDescent="0.25">
      <c r="B227" s="33"/>
      <c r="E227" s="23"/>
      <c r="Q227" s="33"/>
      <c r="U227" s="2"/>
      <c r="V227" s="33"/>
      <c r="X227" s="2"/>
      <c r="Z227" s="2"/>
      <c r="AA227" s="33"/>
      <c r="AB227" s="16"/>
      <c r="AC227" s="16"/>
      <c r="AE227" s="2"/>
      <c r="AF227" s="33"/>
      <c r="AJ227" s="2"/>
      <c r="AK227" s="57"/>
      <c r="AL227" s="38"/>
      <c r="AM227" s="37"/>
      <c r="AO227" s="2"/>
      <c r="AP227" s="57"/>
      <c r="AQ227" s="15"/>
      <c r="AR227" s="35"/>
      <c r="AT227" s="2"/>
      <c r="AU227" s="33"/>
    </row>
    <row r="228" spans="2:47" x14ac:dyDescent="0.25">
      <c r="B228" s="33"/>
      <c r="E228" s="23"/>
      <c r="Q228" s="33"/>
      <c r="U228" s="2"/>
      <c r="V228" s="33"/>
      <c r="X228" s="2"/>
      <c r="Z228" s="2"/>
      <c r="AA228" s="33"/>
      <c r="AB228" s="16"/>
      <c r="AC228" s="16"/>
      <c r="AE228" s="2"/>
      <c r="AF228" s="33"/>
      <c r="AJ228" s="2"/>
      <c r="AK228" s="57"/>
      <c r="AL228" s="38"/>
      <c r="AM228" s="37"/>
      <c r="AO228" s="2"/>
      <c r="AP228" s="57"/>
      <c r="AQ228" s="15"/>
      <c r="AR228" s="35"/>
      <c r="AT228" s="2"/>
      <c r="AU228" s="33"/>
    </row>
    <row r="229" spans="2:47" x14ac:dyDescent="0.25">
      <c r="B229" s="33"/>
      <c r="E229" s="23"/>
      <c r="Q229" s="33"/>
      <c r="U229" s="2"/>
      <c r="V229" s="33"/>
      <c r="X229" s="2"/>
      <c r="Z229" s="2"/>
      <c r="AA229" s="33"/>
      <c r="AB229" s="16"/>
      <c r="AC229" s="16"/>
      <c r="AE229" s="2"/>
      <c r="AF229" s="33"/>
      <c r="AJ229" s="2"/>
      <c r="AK229" s="57"/>
      <c r="AL229" s="38"/>
      <c r="AM229" s="37"/>
      <c r="AO229" s="2"/>
      <c r="AP229" s="57"/>
      <c r="AQ229" s="15"/>
      <c r="AR229" s="35"/>
      <c r="AT229" s="2"/>
      <c r="AU229" s="33"/>
    </row>
    <row r="230" spans="2:47" x14ac:dyDescent="0.25">
      <c r="B230" s="33"/>
      <c r="E230" s="23"/>
      <c r="Q230" s="33"/>
      <c r="U230" s="2"/>
      <c r="V230" s="33"/>
      <c r="X230" s="2"/>
      <c r="Z230" s="2"/>
      <c r="AA230" s="33"/>
      <c r="AB230" s="16"/>
      <c r="AC230" s="16"/>
      <c r="AE230" s="2"/>
      <c r="AF230" s="33"/>
      <c r="AJ230" s="2"/>
      <c r="AK230" s="57"/>
      <c r="AL230" s="38"/>
      <c r="AM230" s="37"/>
      <c r="AO230" s="2"/>
      <c r="AP230" s="57"/>
      <c r="AQ230" s="15"/>
      <c r="AR230" s="35"/>
      <c r="AT230" s="2"/>
      <c r="AU230" s="33"/>
    </row>
    <row r="231" spans="2:47" x14ac:dyDescent="0.25">
      <c r="B231" s="33"/>
      <c r="E231" s="23"/>
      <c r="Q231" s="33"/>
      <c r="U231" s="2"/>
      <c r="V231" s="33"/>
      <c r="X231" s="2"/>
      <c r="Z231" s="2"/>
      <c r="AA231" s="33"/>
      <c r="AB231" s="16"/>
      <c r="AC231" s="16"/>
      <c r="AE231" s="2"/>
      <c r="AF231" s="33"/>
      <c r="AJ231" s="2"/>
      <c r="AK231" s="57"/>
      <c r="AL231" s="38"/>
      <c r="AM231" s="37"/>
      <c r="AO231" s="2"/>
      <c r="AP231" s="57"/>
      <c r="AQ231" s="15"/>
      <c r="AR231" s="35"/>
      <c r="AT231" s="2"/>
      <c r="AU231" s="33"/>
    </row>
    <row r="232" spans="2:47" x14ac:dyDescent="0.25">
      <c r="B232" s="33"/>
      <c r="E232" s="23"/>
      <c r="Q232" s="33"/>
      <c r="U232" s="2"/>
      <c r="V232" s="33"/>
      <c r="X232" s="2"/>
      <c r="Z232" s="2"/>
      <c r="AA232" s="33"/>
      <c r="AB232" s="16"/>
      <c r="AC232" s="16"/>
      <c r="AE232" s="2"/>
      <c r="AF232" s="33"/>
      <c r="AJ232" s="2"/>
      <c r="AK232" s="57"/>
      <c r="AL232" s="38"/>
      <c r="AM232" s="37"/>
      <c r="AO232" s="2"/>
      <c r="AP232" s="57"/>
      <c r="AQ232" s="15"/>
      <c r="AR232" s="35"/>
      <c r="AT232" s="2"/>
      <c r="AU232" s="33"/>
    </row>
    <row r="233" spans="2:47" x14ac:dyDescent="0.25">
      <c r="B233" s="33"/>
      <c r="E233" s="23"/>
      <c r="Q233" s="33"/>
      <c r="U233" s="2"/>
      <c r="V233" s="33"/>
      <c r="X233" s="2"/>
      <c r="Z233" s="2"/>
      <c r="AA233" s="33"/>
      <c r="AB233" s="16"/>
      <c r="AC233" s="16"/>
      <c r="AE233" s="2"/>
      <c r="AF233" s="33"/>
      <c r="AJ233" s="2"/>
      <c r="AK233" s="57"/>
      <c r="AL233" s="38"/>
      <c r="AM233" s="37"/>
      <c r="AO233" s="2"/>
      <c r="AP233" s="57"/>
      <c r="AQ233" s="15"/>
      <c r="AR233" s="35"/>
      <c r="AT233" s="2"/>
      <c r="AU233" s="33"/>
    </row>
    <row r="234" spans="2:47" x14ac:dyDescent="0.25">
      <c r="B234" s="33"/>
      <c r="E234" s="23"/>
      <c r="Q234" s="33"/>
      <c r="U234" s="2"/>
      <c r="V234" s="33"/>
      <c r="X234" s="2"/>
      <c r="Z234" s="2"/>
      <c r="AA234" s="33"/>
      <c r="AB234" s="16"/>
      <c r="AC234" s="16"/>
      <c r="AE234" s="2"/>
      <c r="AF234" s="33"/>
      <c r="AJ234" s="2"/>
      <c r="AK234" s="57"/>
      <c r="AL234" s="38"/>
      <c r="AM234" s="37"/>
      <c r="AO234" s="2"/>
      <c r="AP234" s="57"/>
      <c r="AQ234" s="15"/>
      <c r="AR234" s="35"/>
      <c r="AT234" s="2"/>
      <c r="AU234" s="33"/>
    </row>
    <row r="235" spans="2:47" x14ac:dyDescent="0.25">
      <c r="B235" s="33"/>
      <c r="E235" s="23"/>
      <c r="Q235" s="33"/>
      <c r="U235" s="2"/>
      <c r="V235" s="33"/>
      <c r="X235" s="2"/>
      <c r="Z235" s="2"/>
      <c r="AA235" s="33"/>
      <c r="AB235" s="16"/>
      <c r="AC235" s="16"/>
      <c r="AE235" s="2"/>
      <c r="AF235" s="33"/>
      <c r="AJ235" s="2"/>
      <c r="AK235" s="57"/>
      <c r="AL235" s="38"/>
      <c r="AM235" s="37"/>
      <c r="AO235" s="2"/>
      <c r="AP235" s="57"/>
      <c r="AQ235" s="15"/>
      <c r="AR235" s="35"/>
      <c r="AT235" s="2"/>
      <c r="AU235" s="33"/>
    </row>
    <row r="236" spans="2:47" x14ac:dyDescent="0.25">
      <c r="B236" s="33"/>
      <c r="E236" s="23"/>
      <c r="Q236" s="33"/>
      <c r="U236" s="2"/>
      <c r="V236" s="33"/>
      <c r="X236" s="2"/>
      <c r="Z236" s="2"/>
      <c r="AA236" s="33"/>
      <c r="AB236" s="16"/>
      <c r="AC236" s="16"/>
      <c r="AE236" s="2"/>
      <c r="AF236" s="33"/>
      <c r="AJ236" s="2"/>
      <c r="AK236" s="57"/>
      <c r="AL236" s="38"/>
      <c r="AM236" s="37"/>
      <c r="AO236" s="2"/>
      <c r="AP236" s="57"/>
      <c r="AQ236" s="15"/>
      <c r="AR236" s="35"/>
      <c r="AT236" s="2"/>
      <c r="AU236" s="33"/>
    </row>
    <row r="237" spans="2:47" x14ac:dyDescent="0.25">
      <c r="B237" s="33"/>
      <c r="E237" s="23"/>
      <c r="Q237" s="33"/>
      <c r="U237" s="2"/>
      <c r="V237" s="33"/>
      <c r="X237" s="2"/>
      <c r="Z237" s="2"/>
      <c r="AA237" s="33"/>
      <c r="AB237" s="16"/>
      <c r="AC237" s="16"/>
      <c r="AE237" s="2"/>
      <c r="AF237" s="33"/>
      <c r="AJ237" s="2"/>
      <c r="AK237" s="57"/>
      <c r="AL237" s="38"/>
      <c r="AM237" s="37"/>
      <c r="AO237" s="2"/>
      <c r="AP237" s="57"/>
      <c r="AQ237" s="15"/>
      <c r="AR237" s="35"/>
      <c r="AT237" s="2"/>
      <c r="AU237" s="33"/>
    </row>
    <row r="238" spans="2:47" x14ac:dyDescent="0.25">
      <c r="B238" s="33"/>
      <c r="E238" s="23"/>
      <c r="Q238" s="33"/>
      <c r="U238" s="2"/>
      <c r="V238" s="33"/>
      <c r="X238" s="2"/>
      <c r="Z238" s="2"/>
      <c r="AA238" s="33"/>
      <c r="AB238" s="16"/>
      <c r="AC238" s="16"/>
      <c r="AE238" s="2"/>
      <c r="AF238" s="33"/>
      <c r="AJ238" s="2"/>
      <c r="AK238" s="57"/>
      <c r="AL238" s="38"/>
      <c r="AM238" s="37"/>
      <c r="AO238" s="2"/>
      <c r="AP238" s="57"/>
      <c r="AQ238" s="15"/>
      <c r="AR238" s="35"/>
      <c r="AT238" s="2"/>
      <c r="AU238" s="33"/>
    </row>
    <row r="239" spans="2:47" x14ac:dyDescent="0.25">
      <c r="B239" s="33"/>
      <c r="E239" s="23"/>
      <c r="Q239" s="33"/>
      <c r="U239" s="2"/>
      <c r="V239" s="33"/>
      <c r="X239" s="2"/>
      <c r="Z239" s="2"/>
      <c r="AA239" s="33"/>
      <c r="AB239" s="16"/>
      <c r="AC239" s="16"/>
      <c r="AE239" s="2"/>
      <c r="AF239" s="33"/>
      <c r="AJ239" s="2"/>
      <c r="AK239" s="57"/>
      <c r="AL239" s="38"/>
      <c r="AM239" s="37"/>
      <c r="AO239" s="2"/>
      <c r="AP239" s="57"/>
      <c r="AQ239" s="15"/>
      <c r="AR239" s="35"/>
      <c r="AT239" s="2"/>
      <c r="AU239" s="33"/>
    </row>
    <row r="240" spans="2:47" x14ac:dyDescent="0.25">
      <c r="B240" s="33"/>
      <c r="E240" s="23"/>
      <c r="Q240" s="33"/>
      <c r="U240" s="2"/>
      <c r="V240" s="33"/>
      <c r="X240" s="2"/>
      <c r="Z240" s="2"/>
      <c r="AA240" s="33"/>
      <c r="AB240" s="16"/>
      <c r="AC240" s="16"/>
      <c r="AE240" s="2"/>
      <c r="AF240" s="33"/>
      <c r="AJ240" s="2"/>
      <c r="AK240" s="57"/>
      <c r="AL240" s="38"/>
      <c r="AM240" s="37"/>
      <c r="AO240" s="2"/>
      <c r="AP240" s="57"/>
      <c r="AQ240" s="15"/>
      <c r="AR240" s="35"/>
      <c r="AT240" s="2"/>
      <c r="AU240" s="33"/>
    </row>
    <row r="241" spans="2:47" x14ac:dyDescent="0.25">
      <c r="B241" s="33"/>
      <c r="E241" s="23"/>
      <c r="Q241" s="33"/>
      <c r="U241" s="2"/>
      <c r="V241" s="33"/>
      <c r="X241" s="2"/>
      <c r="Z241" s="2"/>
      <c r="AA241" s="33"/>
      <c r="AB241" s="16"/>
      <c r="AC241" s="16"/>
      <c r="AE241" s="2"/>
      <c r="AF241" s="33"/>
      <c r="AJ241" s="2"/>
      <c r="AK241" s="57"/>
      <c r="AL241" s="38"/>
      <c r="AM241" s="37"/>
      <c r="AO241" s="2"/>
      <c r="AP241" s="57"/>
      <c r="AQ241" s="15"/>
      <c r="AR241" s="35"/>
      <c r="AT241" s="2"/>
      <c r="AU241" s="33"/>
    </row>
    <row r="242" spans="2:47" x14ac:dyDescent="0.25">
      <c r="B242" s="33"/>
      <c r="E242" s="23"/>
      <c r="Q242" s="33"/>
      <c r="U242" s="2"/>
      <c r="V242" s="33"/>
      <c r="X242" s="2"/>
      <c r="Z242" s="2"/>
      <c r="AA242" s="33"/>
      <c r="AB242" s="16"/>
      <c r="AC242" s="16"/>
      <c r="AE242" s="2"/>
      <c r="AF242" s="33"/>
      <c r="AJ242" s="2"/>
      <c r="AK242" s="57"/>
      <c r="AL242" s="38"/>
      <c r="AM242" s="37"/>
      <c r="AO242" s="2"/>
      <c r="AP242" s="57"/>
      <c r="AQ242" s="15"/>
      <c r="AR242" s="35"/>
      <c r="AT242" s="2"/>
      <c r="AU242" s="33"/>
    </row>
    <row r="243" spans="2:47" x14ac:dyDescent="0.25">
      <c r="B243" s="33"/>
      <c r="E243" s="23"/>
      <c r="Q243" s="33"/>
      <c r="U243" s="2"/>
      <c r="V243" s="33"/>
      <c r="X243" s="2"/>
      <c r="Z243" s="2"/>
      <c r="AA243" s="33"/>
      <c r="AB243" s="16"/>
      <c r="AC243" s="16"/>
      <c r="AE243" s="2"/>
      <c r="AF243" s="33"/>
      <c r="AJ243" s="2"/>
      <c r="AK243" s="57"/>
      <c r="AL243" s="38"/>
      <c r="AM243" s="37"/>
      <c r="AO243" s="2"/>
      <c r="AP243" s="57"/>
      <c r="AQ243" s="15"/>
      <c r="AR243" s="35"/>
      <c r="AT243" s="2"/>
      <c r="AU243" s="33"/>
    </row>
    <row r="244" spans="2:47" x14ac:dyDescent="0.25">
      <c r="B244" s="33"/>
      <c r="E244" s="23"/>
      <c r="Q244" s="33"/>
      <c r="U244" s="2"/>
      <c r="V244" s="33"/>
      <c r="X244" s="2"/>
      <c r="Z244" s="2"/>
      <c r="AA244" s="33"/>
      <c r="AB244" s="16"/>
      <c r="AC244" s="16"/>
      <c r="AE244" s="2"/>
      <c r="AF244" s="33"/>
      <c r="AJ244" s="2"/>
      <c r="AK244" s="57"/>
      <c r="AL244" s="38"/>
      <c r="AM244" s="37"/>
      <c r="AO244" s="2"/>
      <c r="AP244" s="57"/>
      <c r="AQ244" s="15"/>
      <c r="AR244" s="35"/>
      <c r="AT244" s="2"/>
      <c r="AU244" s="33"/>
    </row>
    <row r="245" spans="2:47" x14ac:dyDescent="0.25">
      <c r="B245" s="33"/>
      <c r="E245" s="23"/>
      <c r="U245" s="2"/>
      <c r="V245" s="33"/>
      <c r="X245" s="2"/>
      <c r="Z245" s="2"/>
      <c r="AA245" s="33"/>
      <c r="AB245" s="16"/>
      <c r="AC245" s="16"/>
      <c r="AE245" s="2"/>
      <c r="AF245" s="33"/>
      <c r="AJ245" s="2"/>
      <c r="AK245" s="57"/>
      <c r="AL245" s="38"/>
      <c r="AM245" s="37"/>
      <c r="AO245" s="2"/>
      <c r="AP245" s="57"/>
      <c r="AQ245" s="15"/>
      <c r="AR245" s="35"/>
      <c r="AT245" s="2"/>
      <c r="AU245" s="33"/>
    </row>
    <row r="246" spans="2:47" x14ac:dyDescent="0.25">
      <c r="B246" s="33"/>
      <c r="E246" s="23"/>
      <c r="U246" s="2"/>
      <c r="V246" s="33"/>
      <c r="X246" s="2"/>
      <c r="Z246" s="2"/>
      <c r="AA246" s="33"/>
      <c r="AB246" s="16"/>
      <c r="AC246" s="16"/>
      <c r="AE246" s="2"/>
      <c r="AF246" s="33"/>
      <c r="AJ246" s="2"/>
      <c r="AK246" s="57"/>
      <c r="AL246" s="38"/>
      <c r="AM246" s="37"/>
      <c r="AO246" s="2"/>
      <c r="AP246" s="57"/>
      <c r="AQ246" s="15"/>
      <c r="AR246" s="35"/>
      <c r="AT246" s="2"/>
      <c r="AU246" s="33"/>
    </row>
    <row r="247" spans="2:47" x14ac:dyDescent="0.25">
      <c r="B247" s="33"/>
      <c r="E247" s="23"/>
      <c r="U247" s="2"/>
      <c r="V247" s="33"/>
      <c r="X247" s="2"/>
      <c r="Z247" s="2"/>
      <c r="AA247" s="33"/>
      <c r="AB247" s="16"/>
      <c r="AC247" s="16"/>
      <c r="AE247" s="2"/>
      <c r="AF247" s="33"/>
      <c r="AJ247" s="2"/>
      <c r="AK247" s="57"/>
      <c r="AL247" s="38"/>
      <c r="AM247" s="37"/>
      <c r="AO247" s="2"/>
      <c r="AP247" s="57"/>
      <c r="AQ247" s="15"/>
      <c r="AR247" s="35"/>
      <c r="AT247" s="2"/>
      <c r="AU247" s="33"/>
    </row>
    <row r="248" spans="2:47" x14ac:dyDescent="0.25">
      <c r="B248" s="33"/>
      <c r="E248" s="23"/>
      <c r="U248" s="2"/>
      <c r="V248" s="33"/>
      <c r="X248" s="2"/>
      <c r="Z248" s="2"/>
      <c r="AA248" s="33"/>
      <c r="AB248" s="16"/>
      <c r="AC248" s="16"/>
      <c r="AE248" s="2"/>
      <c r="AF248" s="33"/>
      <c r="AJ248" s="2"/>
      <c r="AK248" s="57"/>
      <c r="AL248" s="38"/>
      <c r="AM248" s="37"/>
      <c r="AO248" s="2"/>
      <c r="AP248" s="57"/>
      <c r="AQ248" s="15"/>
      <c r="AR248" s="35"/>
      <c r="AT248" s="2"/>
      <c r="AU248" s="33"/>
    </row>
    <row r="249" spans="2:47" x14ac:dyDescent="0.25">
      <c r="B249" s="33"/>
      <c r="E249" s="23"/>
      <c r="U249" s="2"/>
      <c r="V249" s="33"/>
      <c r="X249" s="2"/>
      <c r="Z249" s="2"/>
      <c r="AA249" s="33"/>
      <c r="AB249" s="16"/>
      <c r="AC249" s="16"/>
      <c r="AE249" s="2"/>
      <c r="AF249" s="33"/>
      <c r="AJ249" s="2"/>
      <c r="AK249" s="57"/>
      <c r="AL249" s="38"/>
      <c r="AM249" s="37"/>
      <c r="AO249" s="2"/>
      <c r="AP249" s="57"/>
      <c r="AQ249" s="15"/>
      <c r="AR249" s="35"/>
      <c r="AT249" s="2"/>
      <c r="AU249" s="33"/>
    </row>
    <row r="250" spans="2:47" x14ac:dyDescent="0.25">
      <c r="B250" s="33"/>
      <c r="E250" s="23"/>
      <c r="U250" s="2"/>
      <c r="V250" s="33"/>
      <c r="X250" s="2"/>
      <c r="Z250" s="2"/>
      <c r="AA250" s="33"/>
      <c r="AB250" s="16"/>
      <c r="AC250" s="16"/>
      <c r="AE250" s="2"/>
      <c r="AF250" s="33"/>
      <c r="AJ250" s="2"/>
      <c r="AK250" s="57"/>
      <c r="AL250" s="38"/>
      <c r="AM250" s="37"/>
      <c r="AO250" s="2"/>
      <c r="AP250" s="57"/>
      <c r="AQ250" s="15"/>
      <c r="AR250" s="35"/>
      <c r="AT250" s="2"/>
      <c r="AU250" s="33"/>
    </row>
    <row r="251" spans="2:47" x14ac:dyDescent="0.25">
      <c r="B251" s="33"/>
      <c r="E251" s="23"/>
      <c r="U251" s="2"/>
      <c r="V251" s="33"/>
      <c r="X251" s="2"/>
      <c r="Z251" s="2"/>
      <c r="AA251" s="33"/>
      <c r="AB251" s="16"/>
      <c r="AC251" s="16"/>
      <c r="AE251" s="2"/>
      <c r="AF251" s="33"/>
      <c r="AJ251" s="2"/>
      <c r="AK251" s="57"/>
      <c r="AL251" s="38"/>
      <c r="AM251" s="37"/>
      <c r="AO251" s="2"/>
      <c r="AP251" s="57"/>
      <c r="AQ251" s="15"/>
      <c r="AR251" s="35"/>
      <c r="AT251" s="2"/>
      <c r="AU251" s="33"/>
    </row>
    <row r="252" spans="2:47" x14ac:dyDescent="0.25">
      <c r="B252" s="33"/>
      <c r="E252" s="23"/>
      <c r="U252" s="2"/>
      <c r="V252" s="33"/>
      <c r="X252" s="2"/>
      <c r="Z252" s="2"/>
      <c r="AA252" s="33"/>
      <c r="AB252" s="16"/>
      <c r="AC252" s="16"/>
      <c r="AE252" s="2"/>
      <c r="AF252" s="33"/>
      <c r="AJ252" s="2"/>
      <c r="AK252" s="57"/>
      <c r="AL252" s="38"/>
      <c r="AM252" s="37"/>
      <c r="AO252" s="2"/>
      <c r="AP252" s="57"/>
      <c r="AQ252" s="15"/>
      <c r="AR252" s="35"/>
      <c r="AT252" s="2"/>
      <c r="AU252" s="33"/>
    </row>
    <row r="253" spans="2:47" x14ac:dyDescent="0.25">
      <c r="B253" s="33"/>
      <c r="E253" s="23"/>
      <c r="U253" s="2"/>
      <c r="V253" s="33"/>
      <c r="X253" s="2"/>
      <c r="Z253" s="2"/>
      <c r="AA253" s="33"/>
      <c r="AB253" s="16"/>
      <c r="AC253" s="16"/>
      <c r="AE253" s="2"/>
      <c r="AF253" s="33"/>
      <c r="AJ253" s="2"/>
      <c r="AK253" s="57"/>
      <c r="AL253" s="38"/>
      <c r="AM253" s="37"/>
      <c r="AO253" s="2"/>
      <c r="AP253" s="57"/>
      <c r="AQ253" s="15"/>
      <c r="AR253" s="35"/>
      <c r="AT253" s="2"/>
      <c r="AU253" s="33"/>
    </row>
    <row r="254" spans="2:47" x14ac:dyDescent="0.25">
      <c r="B254" s="33"/>
      <c r="E254" s="23"/>
      <c r="U254" s="2"/>
      <c r="V254" s="33"/>
      <c r="X254" s="2"/>
      <c r="Z254" s="2"/>
      <c r="AA254" s="33"/>
      <c r="AB254" s="16"/>
      <c r="AC254" s="16"/>
      <c r="AE254" s="2"/>
      <c r="AF254" s="33"/>
      <c r="AJ254" s="2"/>
      <c r="AK254" s="57"/>
      <c r="AL254" s="38"/>
      <c r="AM254" s="37"/>
      <c r="AO254" s="2"/>
      <c r="AP254" s="57"/>
      <c r="AQ254" s="15"/>
      <c r="AR254" s="35"/>
      <c r="AT254" s="2"/>
      <c r="AU254" s="33"/>
    </row>
    <row r="255" spans="2:47" x14ac:dyDescent="0.25">
      <c r="B255" s="33"/>
      <c r="E255" s="23"/>
      <c r="U255" s="2"/>
      <c r="V255" s="33"/>
      <c r="X255" s="2"/>
      <c r="Z255" s="2"/>
      <c r="AA255" s="33"/>
      <c r="AB255" s="16"/>
      <c r="AC255" s="16"/>
      <c r="AE255" s="2"/>
      <c r="AF255" s="33"/>
      <c r="AJ255" s="2"/>
      <c r="AK255" s="57"/>
      <c r="AL255" s="38"/>
      <c r="AM255" s="37"/>
      <c r="AO255" s="2"/>
      <c r="AP255" s="57"/>
      <c r="AQ255" s="15"/>
      <c r="AR255" s="35"/>
      <c r="AT255" s="2"/>
      <c r="AU255" s="33"/>
    </row>
    <row r="256" spans="2:47" x14ac:dyDescent="0.25">
      <c r="B256" s="33"/>
      <c r="E256" s="23"/>
      <c r="U256" s="2"/>
      <c r="V256" s="33"/>
      <c r="X256" s="2"/>
      <c r="Z256" s="2"/>
      <c r="AA256" s="33"/>
      <c r="AB256" s="16"/>
      <c r="AC256" s="16"/>
      <c r="AE256" s="2"/>
      <c r="AF256" s="33"/>
      <c r="AJ256" s="2"/>
      <c r="AK256" s="57"/>
      <c r="AL256" s="38"/>
      <c r="AM256" s="37"/>
      <c r="AO256" s="2"/>
      <c r="AP256" s="57"/>
      <c r="AQ256" s="15"/>
      <c r="AR256" s="35"/>
      <c r="AT256" s="2"/>
      <c r="AU256" s="33"/>
    </row>
    <row r="257" spans="2:47" x14ac:dyDescent="0.25">
      <c r="B257" s="33"/>
      <c r="E257" s="23"/>
      <c r="U257" s="2"/>
      <c r="V257" s="33"/>
      <c r="X257" s="2"/>
      <c r="Z257" s="2"/>
      <c r="AA257" s="33"/>
      <c r="AC257" s="16"/>
      <c r="AE257" s="2"/>
      <c r="AF257" s="33"/>
      <c r="AJ257" s="2"/>
      <c r="AK257" s="57"/>
      <c r="AL257" s="38"/>
      <c r="AM257" s="37"/>
      <c r="AO257" s="2"/>
      <c r="AP257" s="57"/>
      <c r="AQ257" s="15"/>
      <c r="AR257" s="35"/>
      <c r="AT257" s="2"/>
      <c r="AU257" s="33"/>
    </row>
    <row r="258" spans="2:47" x14ac:dyDescent="0.25">
      <c r="B258" s="33"/>
      <c r="E258" s="23"/>
      <c r="U258" s="2"/>
      <c r="V258" s="33"/>
      <c r="X258" s="2"/>
      <c r="Z258" s="2"/>
      <c r="AA258" s="33"/>
      <c r="AC258" s="16"/>
      <c r="AE258" s="2"/>
      <c r="AF258" s="33"/>
      <c r="AJ258" s="2"/>
      <c r="AK258" s="57"/>
      <c r="AL258" s="38"/>
      <c r="AM258" s="37"/>
      <c r="AO258" s="2"/>
      <c r="AP258" s="57"/>
      <c r="AQ258" s="15"/>
      <c r="AR258" s="35"/>
      <c r="AT258" s="2"/>
      <c r="AU258" s="33"/>
    </row>
    <row r="259" spans="2:47" x14ac:dyDescent="0.25">
      <c r="B259" s="33"/>
      <c r="E259" s="23"/>
      <c r="U259" s="2"/>
      <c r="V259" s="33"/>
      <c r="X259" s="2"/>
      <c r="Z259" s="2"/>
      <c r="AA259" s="33"/>
      <c r="AC259" s="16"/>
      <c r="AE259" s="2"/>
      <c r="AF259" s="33"/>
      <c r="AJ259" s="2"/>
      <c r="AK259" s="57"/>
      <c r="AL259" s="15"/>
      <c r="AM259" s="37"/>
      <c r="AO259" s="2"/>
      <c r="AP259" s="57"/>
      <c r="AQ259" s="15"/>
      <c r="AR259" s="35"/>
      <c r="AT259" s="2"/>
      <c r="AU259" s="33"/>
    </row>
    <row r="260" spans="2:47" x14ac:dyDescent="0.25">
      <c r="B260" s="33"/>
      <c r="E260" s="23"/>
      <c r="U260" s="2"/>
      <c r="V260" s="33"/>
      <c r="X260" s="2"/>
      <c r="Z260" s="2"/>
      <c r="AA260" s="33"/>
      <c r="AC260" s="16"/>
      <c r="AE260" s="2"/>
      <c r="AF260" s="33"/>
      <c r="AJ260" s="2"/>
      <c r="AK260" s="57"/>
      <c r="AL260" s="15"/>
      <c r="AM260" s="37"/>
      <c r="AO260" s="2"/>
      <c r="AP260" s="57"/>
      <c r="AQ260" s="15"/>
      <c r="AR260" s="35"/>
      <c r="AT260" s="2"/>
      <c r="AU260" s="33"/>
    </row>
    <row r="261" spans="2:47" x14ac:dyDescent="0.25">
      <c r="B261" s="33"/>
      <c r="E261" s="23"/>
      <c r="U261" s="2"/>
      <c r="V261" s="33"/>
      <c r="X261" s="2"/>
      <c r="Z261" s="2"/>
      <c r="AA261" s="33"/>
      <c r="AC261" s="16"/>
      <c r="AE261" s="2"/>
      <c r="AF261" s="33"/>
      <c r="AJ261" s="2"/>
      <c r="AK261" s="57"/>
      <c r="AL261" s="15"/>
      <c r="AM261" s="37"/>
      <c r="AO261" s="2"/>
      <c r="AP261" s="57"/>
      <c r="AQ261" s="15"/>
      <c r="AR261" s="35"/>
      <c r="AT261" s="2"/>
      <c r="AU261" s="33"/>
    </row>
    <row r="262" spans="2:47" x14ac:dyDescent="0.25">
      <c r="B262" s="33"/>
      <c r="E262" s="23"/>
      <c r="U262" s="2"/>
      <c r="V262" s="33"/>
      <c r="X262" s="2"/>
      <c r="Z262" s="2"/>
      <c r="AA262" s="33"/>
      <c r="AC262" s="16"/>
      <c r="AE262" s="2"/>
      <c r="AF262" s="33"/>
      <c r="AJ262" s="2"/>
      <c r="AK262" s="57"/>
      <c r="AL262" s="15"/>
      <c r="AM262" s="37"/>
      <c r="AO262" s="2"/>
      <c r="AP262" s="57"/>
      <c r="AQ262" s="15"/>
      <c r="AR262" s="35"/>
      <c r="AT262" s="2"/>
      <c r="AU262" s="33"/>
    </row>
    <row r="263" spans="2:47" x14ac:dyDescent="0.25">
      <c r="B263" s="33"/>
      <c r="E263" s="23"/>
      <c r="U263" s="2"/>
      <c r="V263" s="33"/>
      <c r="X263" s="2"/>
      <c r="Z263" s="2"/>
      <c r="AA263" s="33"/>
      <c r="AC263" s="16"/>
      <c r="AE263" s="2"/>
      <c r="AF263" s="33"/>
      <c r="AJ263" s="2"/>
      <c r="AK263" s="57"/>
      <c r="AL263" s="15"/>
      <c r="AM263" s="37"/>
      <c r="AO263" s="2"/>
      <c r="AP263" s="57"/>
      <c r="AQ263" s="15"/>
      <c r="AR263" s="35"/>
      <c r="AT263" s="2"/>
      <c r="AU263" s="33"/>
    </row>
    <row r="264" spans="2:47" x14ac:dyDescent="0.25">
      <c r="B264" s="33"/>
      <c r="E264" s="23"/>
      <c r="U264" s="2"/>
      <c r="V264" s="33"/>
      <c r="X264" s="2"/>
      <c r="Z264" s="2"/>
      <c r="AA264" s="33"/>
      <c r="AC264" s="16"/>
      <c r="AE264" s="2"/>
      <c r="AF264" s="33"/>
      <c r="AJ264" s="2"/>
      <c r="AK264" s="57"/>
      <c r="AL264" s="15"/>
      <c r="AM264" s="37"/>
      <c r="AO264" s="2"/>
      <c r="AP264" s="57"/>
      <c r="AQ264" s="15"/>
      <c r="AR264" s="35"/>
      <c r="AT264" s="2"/>
      <c r="AU264" s="33"/>
    </row>
    <row r="265" spans="2:47" x14ac:dyDescent="0.25">
      <c r="B265" s="33"/>
      <c r="E265" s="23"/>
      <c r="U265" s="2"/>
      <c r="V265" s="33"/>
      <c r="X265" s="2"/>
      <c r="Z265" s="2"/>
      <c r="AA265" s="33"/>
      <c r="AC265" s="16"/>
      <c r="AE265" s="2"/>
      <c r="AF265" s="33"/>
      <c r="AJ265" s="2"/>
      <c r="AK265" s="57"/>
      <c r="AL265" s="15"/>
      <c r="AM265" s="37"/>
      <c r="AO265" s="2"/>
      <c r="AP265" s="57"/>
      <c r="AQ265" s="15"/>
      <c r="AR265" s="35"/>
      <c r="AT265" s="2"/>
      <c r="AU265" s="33"/>
    </row>
    <row r="266" spans="2:47" x14ac:dyDescent="0.25">
      <c r="B266" s="33"/>
      <c r="E266" s="23"/>
      <c r="U266" s="2"/>
      <c r="V266" s="33"/>
      <c r="X266" s="2"/>
      <c r="Z266" s="2"/>
      <c r="AA266" s="33"/>
      <c r="AC266" s="16"/>
      <c r="AE266" s="2"/>
      <c r="AF266" s="33"/>
      <c r="AJ266" s="2"/>
      <c r="AK266" s="57"/>
      <c r="AL266" s="15"/>
      <c r="AM266" s="37"/>
      <c r="AO266" s="2"/>
      <c r="AP266" s="57"/>
      <c r="AQ266" s="15"/>
      <c r="AR266" s="35"/>
      <c r="AT266" s="2"/>
      <c r="AU266" s="33"/>
    </row>
    <row r="267" spans="2:47" x14ac:dyDescent="0.25">
      <c r="B267" s="33"/>
      <c r="E267" s="23"/>
      <c r="U267" s="2"/>
      <c r="V267" s="33"/>
      <c r="X267" s="2"/>
      <c r="Z267" s="2"/>
      <c r="AA267" s="33"/>
      <c r="AC267" s="16"/>
      <c r="AE267" s="2"/>
      <c r="AF267" s="33"/>
      <c r="AJ267" s="2"/>
      <c r="AK267" s="57"/>
      <c r="AL267" s="15"/>
      <c r="AM267" s="37"/>
      <c r="AO267" s="2"/>
      <c r="AP267" s="57"/>
      <c r="AQ267" s="15"/>
      <c r="AR267" s="35"/>
      <c r="AT267" s="2"/>
      <c r="AU267" s="33"/>
    </row>
    <row r="268" spans="2:47" x14ac:dyDescent="0.25">
      <c r="B268" s="33"/>
      <c r="E268" s="23"/>
      <c r="U268" s="2"/>
      <c r="V268" s="33"/>
      <c r="X268" s="2"/>
      <c r="Z268" s="2"/>
      <c r="AA268" s="33"/>
      <c r="AC268" s="16"/>
      <c r="AE268" s="2"/>
      <c r="AF268" s="33"/>
      <c r="AJ268" s="2"/>
      <c r="AK268" s="57"/>
      <c r="AL268" s="15"/>
      <c r="AM268" s="37"/>
      <c r="AO268" s="2"/>
      <c r="AP268" s="57"/>
      <c r="AQ268" s="15"/>
      <c r="AR268" s="35"/>
      <c r="AT268" s="2"/>
      <c r="AU268" s="33"/>
    </row>
    <row r="269" spans="2:47" x14ac:dyDescent="0.25">
      <c r="B269" s="33"/>
      <c r="E269" s="23"/>
      <c r="U269" s="2"/>
      <c r="V269" s="33"/>
      <c r="X269" s="2"/>
      <c r="Z269" s="2"/>
      <c r="AA269" s="33"/>
      <c r="AC269" s="16"/>
      <c r="AE269" s="2"/>
      <c r="AF269" s="33"/>
      <c r="AJ269" s="2"/>
      <c r="AK269" s="57"/>
      <c r="AL269" s="15"/>
      <c r="AM269" s="37"/>
      <c r="AO269" s="2"/>
      <c r="AP269" s="57"/>
      <c r="AQ269" s="15"/>
      <c r="AR269" s="35"/>
      <c r="AT269" s="2"/>
      <c r="AU269" s="33"/>
    </row>
    <row r="270" spans="2:47" x14ac:dyDescent="0.25">
      <c r="B270" s="33"/>
      <c r="E270" s="23"/>
      <c r="U270" s="2"/>
      <c r="V270" s="33"/>
      <c r="X270" s="2"/>
      <c r="Z270" s="2"/>
      <c r="AA270" s="33"/>
      <c r="AC270" s="16"/>
      <c r="AE270" s="2"/>
      <c r="AF270" s="33"/>
      <c r="AJ270" s="2"/>
      <c r="AK270" s="57"/>
      <c r="AL270" s="15"/>
      <c r="AM270" s="37"/>
      <c r="AO270" s="2"/>
      <c r="AP270" s="57"/>
      <c r="AQ270" s="15"/>
      <c r="AR270" s="35"/>
      <c r="AT270" s="2"/>
      <c r="AU270" s="33"/>
    </row>
    <row r="271" spans="2:47" x14ac:dyDescent="0.25">
      <c r="B271" s="33"/>
      <c r="E271" s="23"/>
      <c r="U271" s="2"/>
      <c r="V271" s="33"/>
      <c r="X271" s="2"/>
      <c r="Z271" s="2"/>
      <c r="AA271" s="33"/>
      <c r="AC271" s="16"/>
      <c r="AE271" s="2"/>
      <c r="AF271" s="33"/>
      <c r="AJ271" s="2"/>
      <c r="AK271" s="57"/>
      <c r="AL271" s="15"/>
      <c r="AM271" s="37"/>
      <c r="AO271" s="2"/>
      <c r="AP271" s="57"/>
      <c r="AQ271" s="15"/>
      <c r="AR271" s="35"/>
      <c r="AT271" s="2"/>
      <c r="AU271" s="33"/>
    </row>
    <row r="272" spans="2:47" x14ac:dyDescent="0.25">
      <c r="E272" s="23"/>
      <c r="U272" s="2"/>
      <c r="V272" s="33"/>
      <c r="X272" s="2"/>
      <c r="Z272" s="2"/>
      <c r="AA272" s="33"/>
      <c r="AC272" s="16"/>
      <c r="AF272" s="33"/>
      <c r="AJ272" s="2"/>
      <c r="AK272" s="57"/>
      <c r="AL272" s="15"/>
      <c r="AM272" s="37"/>
      <c r="AO272" s="2"/>
      <c r="AP272" s="57"/>
      <c r="AQ272" s="15"/>
      <c r="AR272" s="35"/>
      <c r="AT272" s="2"/>
      <c r="AU272" s="33"/>
    </row>
    <row r="273" spans="5:47" x14ac:dyDescent="0.25">
      <c r="E273" s="23"/>
      <c r="U273" s="2"/>
      <c r="V273" s="33"/>
      <c r="X273" s="2"/>
      <c r="Z273" s="2"/>
      <c r="AA273" s="33"/>
      <c r="AC273" s="16"/>
      <c r="AJ273" s="2"/>
      <c r="AK273" s="57"/>
      <c r="AL273" s="15"/>
      <c r="AM273" s="37"/>
      <c r="AO273" s="2"/>
      <c r="AP273" s="57"/>
      <c r="AQ273" s="15"/>
      <c r="AR273" s="35"/>
      <c r="AT273" s="2"/>
      <c r="AU273" s="33"/>
    </row>
    <row r="274" spans="5:47" x14ac:dyDescent="0.25">
      <c r="E274" s="23"/>
      <c r="U274" s="2"/>
      <c r="V274" s="33"/>
      <c r="X274" s="2"/>
      <c r="Z274" s="2"/>
      <c r="AA274" s="33"/>
      <c r="AC274" s="16"/>
      <c r="AJ274" s="2"/>
      <c r="AK274" s="57"/>
      <c r="AL274" s="15"/>
      <c r="AM274" s="37"/>
      <c r="AO274" s="2"/>
      <c r="AP274" s="57"/>
      <c r="AQ274" s="15"/>
      <c r="AR274" s="35"/>
      <c r="AT274" s="2"/>
      <c r="AU274" s="33"/>
    </row>
    <row r="275" spans="5:47" x14ac:dyDescent="0.25">
      <c r="E275" s="23"/>
      <c r="U275" s="2"/>
      <c r="V275" s="33"/>
      <c r="X275" s="2"/>
      <c r="Z275" s="2"/>
      <c r="AA275" s="33"/>
      <c r="AC275" s="16"/>
      <c r="AJ275" s="2"/>
      <c r="AK275" s="57"/>
      <c r="AL275" s="15"/>
      <c r="AM275" s="37"/>
      <c r="AO275" s="2"/>
      <c r="AP275" s="57"/>
      <c r="AQ275" s="15"/>
      <c r="AR275" s="35"/>
      <c r="AT275" s="2"/>
      <c r="AU275" s="33"/>
    </row>
    <row r="276" spans="5:47" x14ac:dyDescent="0.25">
      <c r="E276" s="23"/>
      <c r="U276" s="2"/>
      <c r="V276" s="33"/>
      <c r="X276" s="2"/>
      <c r="Z276" s="2"/>
      <c r="AA276" s="33"/>
      <c r="AC276" s="16"/>
      <c r="AJ276" s="2"/>
      <c r="AK276" s="57"/>
      <c r="AL276" s="15"/>
      <c r="AM276" s="37"/>
      <c r="AO276" s="2"/>
      <c r="AP276" s="57"/>
      <c r="AQ276" s="15"/>
      <c r="AR276" s="35"/>
      <c r="AT276" s="2"/>
      <c r="AU276" s="33"/>
    </row>
    <row r="277" spans="5:47" x14ac:dyDescent="0.25">
      <c r="E277" s="23"/>
      <c r="U277" s="2"/>
      <c r="V277" s="33"/>
      <c r="X277" s="2"/>
      <c r="Z277" s="2"/>
      <c r="AA277" s="33"/>
      <c r="AC277" s="16"/>
      <c r="AJ277" s="2"/>
      <c r="AK277" s="57"/>
      <c r="AL277" s="15"/>
      <c r="AM277" s="37"/>
      <c r="AO277" s="2"/>
      <c r="AP277" s="57"/>
      <c r="AQ277" s="15"/>
      <c r="AR277" s="35"/>
      <c r="AT277" s="2"/>
      <c r="AU277" s="33"/>
    </row>
    <row r="278" spans="5:47" x14ac:dyDescent="0.25">
      <c r="E278" s="23"/>
      <c r="U278" s="2"/>
      <c r="V278" s="33"/>
      <c r="X278" s="2"/>
      <c r="Z278" s="2"/>
      <c r="AA278" s="33"/>
      <c r="AC278" s="16"/>
      <c r="AJ278" s="2"/>
      <c r="AK278" s="57"/>
      <c r="AL278" s="15"/>
      <c r="AM278" s="37"/>
      <c r="AO278" s="2"/>
      <c r="AP278" s="57"/>
      <c r="AQ278" s="15"/>
      <c r="AR278" s="35"/>
      <c r="AT278" s="2"/>
      <c r="AU278" s="33"/>
    </row>
    <row r="279" spans="5:47" x14ac:dyDescent="0.25">
      <c r="E279" s="23"/>
      <c r="U279" s="2"/>
      <c r="V279" s="33"/>
      <c r="X279" s="2"/>
      <c r="Z279" s="2"/>
      <c r="AA279" s="33"/>
      <c r="AC279" s="16"/>
      <c r="AJ279" s="2"/>
      <c r="AK279" s="57"/>
      <c r="AL279" s="15"/>
      <c r="AM279" s="37"/>
      <c r="AO279" s="2"/>
      <c r="AP279" s="57"/>
      <c r="AQ279" s="15"/>
      <c r="AR279" s="35"/>
      <c r="AT279" s="2"/>
      <c r="AU279" s="33"/>
    </row>
    <row r="280" spans="5:47" x14ac:dyDescent="0.25">
      <c r="E280" s="23"/>
      <c r="U280" s="2"/>
      <c r="V280" s="33"/>
      <c r="X280" s="2"/>
      <c r="Z280" s="2"/>
      <c r="AA280" s="33"/>
      <c r="AC280" s="16"/>
      <c r="AJ280" s="2"/>
      <c r="AK280" s="57"/>
      <c r="AL280" s="15"/>
      <c r="AM280" s="37"/>
      <c r="AO280" s="2"/>
      <c r="AP280" s="57"/>
      <c r="AQ280" s="15"/>
      <c r="AR280" s="35"/>
      <c r="AT280" s="2"/>
      <c r="AU280" s="33"/>
    </row>
    <row r="281" spans="5:47" x14ac:dyDescent="0.25">
      <c r="E281" s="23"/>
      <c r="U281" s="2"/>
      <c r="V281" s="33"/>
      <c r="X281" s="2"/>
      <c r="Z281" s="2"/>
      <c r="AA281" s="33"/>
      <c r="AC281" s="16"/>
      <c r="AJ281" s="2"/>
      <c r="AK281" s="57"/>
      <c r="AL281" s="15"/>
      <c r="AM281" s="37"/>
      <c r="AO281" s="2"/>
      <c r="AP281" s="57"/>
      <c r="AQ281" s="15"/>
      <c r="AR281" s="35"/>
      <c r="AT281" s="2"/>
      <c r="AU281" s="33"/>
    </row>
    <row r="282" spans="5:47" x14ac:dyDescent="0.25">
      <c r="E282" s="23"/>
      <c r="U282" s="2"/>
      <c r="V282" s="33"/>
      <c r="X282" s="2"/>
      <c r="Z282" s="2"/>
      <c r="AA282" s="33"/>
      <c r="AC282" s="16"/>
      <c r="AJ282" s="2"/>
      <c r="AK282" s="57"/>
      <c r="AL282" s="15"/>
      <c r="AM282" s="37"/>
      <c r="AO282" s="2"/>
      <c r="AP282" s="57"/>
      <c r="AQ282" s="15"/>
      <c r="AR282" s="35"/>
      <c r="AT282" s="2"/>
      <c r="AU282" s="33"/>
    </row>
    <row r="283" spans="5:47" x14ac:dyDescent="0.25">
      <c r="E283" s="23"/>
      <c r="U283" s="2"/>
      <c r="V283" s="33"/>
      <c r="X283" s="2"/>
      <c r="Z283" s="2"/>
      <c r="AA283" s="33"/>
      <c r="AC283" s="16"/>
      <c r="AJ283" s="2"/>
      <c r="AK283" s="57"/>
      <c r="AL283" s="15"/>
      <c r="AM283" s="37"/>
      <c r="AO283" s="2"/>
      <c r="AP283" s="57"/>
      <c r="AQ283" s="15"/>
      <c r="AR283" s="35"/>
      <c r="AT283" s="2"/>
      <c r="AU283" s="33"/>
    </row>
    <row r="284" spans="5:47" x14ac:dyDescent="0.25">
      <c r="E284" s="23"/>
      <c r="U284" s="2"/>
      <c r="V284" s="33"/>
      <c r="X284" s="2"/>
      <c r="Z284" s="2"/>
      <c r="AA284" s="33"/>
      <c r="AC284" s="16"/>
      <c r="AJ284" s="2"/>
      <c r="AK284" s="57"/>
      <c r="AL284" s="15"/>
      <c r="AM284" s="37"/>
      <c r="AO284" s="2"/>
      <c r="AP284" s="33"/>
      <c r="AR284" s="2"/>
      <c r="AT284" s="2"/>
      <c r="AU284" s="33"/>
    </row>
    <row r="285" spans="5:47" x14ac:dyDescent="0.25">
      <c r="E285" s="23"/>
      <c r="U285" s="2"/>
      <c r="V285" s="33"/>
      <c r="X285" s="2"/>
      <c r="Z285" s="2"/>
      <c r="AA285" s="33"/>
      <c r="AC285" s="16"/>
      <c r="AJ285" s="2"/>
      <c r="AK285" s="57"/>
      <c r="AL285" s="15"/>
      <c r="AM285" s="37"/>
      <c r="AO285" s="2"/>
      <c r="AP285" s="33"/>
      <c r="AR285" s="2"/>
      <c r="AT285" s="2"/>
      <c r="AU285" s="33"/>
    </row>
    <row r="286" spans="5:47" x14ac:dyDescent="0.25">
      <c r="E286" s="23"/>
      <c r="U286" s="2"/>
      <c r="V286" s="33"/>
      <c r="X286" s="2"/>
      <c r="Z286" s="2"/>
      <c r="AA286" s="33"/>
      <c r="AC286" s="16"/>
      <c r="AJ286" s="2"/>
      <c r="AK286" s="57"/>
      <c r="AL286" s="15"/>
      <c r="AM286" s="37"/>
      <c r="AO286" s="2"/>
      <c r="AP286" s="33"/>
      <c r="AR286" s="2"/>
      <c r="AT286" s="2"/>
      <c r="AU286" s="33"/>
    </row>
    <row r="287" spans="5:47" x14ac:dyDescent="0.25">
      <c r="E287" s="23"/>
      <c r="U287" s="2"/>
      <c r="V287" s="33"/>
      <c r="X287" s="2"/>
      <c r="Z287" s="2"/>
      <c r="AA287" s="33"/>
      <c r="AC287" s="16"/>
      <c r="AJ287" s="2"/>
      <c r="AK287" s="57"/>
      <c r="AL287" s="15"/>
      <c r="AM287" s="37"/>
      <c r="AO287" s="2"/>
      <c r="AP287" s="33"/>
      <c r="AR287" s="2"/>
      <c r="AT287" s="2"/>
      <c r="AU287" s="33"/>
    </row>
    <row r="288" spans="5:47" x14ac:dyDescent="0.25">
      <c r="E288" s="23"/>
      <c r="U288" s="2"/>
      <c r="V288" s="33"/>
      <c r="X288" s="2"/>
      <c r="Z288" s="2"/>
      <c r="AA288" s="33"/>
      <c r="AC288" s="16"/>
      <c r="AJ288" s="2"/>
      <c r="AK288" s="57"/>
      <c r="AL288" s="15"/>
      <c r="AM288" s="37"/>
      <c r="AO288" s="2"/>
      <c r="AP288" s="33"/>
      <c r="AT288" s="2"/>
      <c r="AU288" s="33"/>
    </row>
    <row r="289" spans="5:47" x14ac:dyDescent="0.25">
      <c r="E289" s="23"/>
      <c r="U289" s="2"/>
      <c r="V289" s="33"/>
      <c r="X289" s="2"/>
      <c r="Z289" s="2"/>
      <c r="AA289" s="33"/>
      <c r="AC289" s="16"/>
      <c r="AJ289" s="2"/>
      <c r="AK289" s="57"/>
      <c r="AL289" s="15"/>
      <c r="AM289" s="37"/>
      <c r="AO289" s="2"/>
      <c r="AP289" s="33"/>
      <c r="AT289" s="2"/>
      <c r="AU289" s="33"/>
    </row>
    <row r="290" spans="5:47" x14ac:dyDescent="0.25">
      <c r="E290" s="23"/>
      <c r="U290" s="2"/>
      <c r="V290" s="33"/>
      <c r="X290" s="2"/>
      <c r="Z290" s="2"/>
      <c r="AA290" s="33"/>
      <c r="AC290" s="16"/>
      <c r="AJ290" s="2"/>
      <c r="AK290" s="57"/>
      <c r="AL290" s="15"/>
      <c r="AM290" s="37"/>
      <c r="AO290" s="2"/>
      <c r="AP290" s="33"/>
      <c r="AT290" s="2"/>
      <c r="AU290" s="33"/>
    </row>
    <row r="291" spans="5:47" x14ac:dyDescent="0.25">
      <c r="E291" s="23"/>
      <c r="U291" s="2"/>
      <c r="V291" s="33"/>
      <c r="X291" s="2"/>
      <c r="Z291" s="2"/>
      <c r="AA291" s="33"/>
      <c r="AC291" s="16"/>
      <c r="AJ291" s="2"/>
      <c r="AK291" s="57"/>
      <c r="AL291" s="15"/>
      <c r="AM291" s="37"/>
      <c r="AO291" s="2"/>
      <c r="AP291" s="33"/>
      <c r="AT291" s="2"/>
      <c r="AU291" s="33"/>
    </row>
    <row r="292" spans="5:47" x14ac:dyDescent="0.25">
      <c r="E292" s="23"/>
      <c r="U292" s="2"/>
      <c r="V292" s="33"/>
      <c r="X292" s="2"/>
      <c r="Z292" s="2"/>
      <c r="AA292" s="33"/>
      <c r="AC292" s="16"/>
      <c r="AJ292" s="2"/>
      <c r="AK292" s="57"/>
      <c r="AL292" s="15"/>
      <c r="AM292" s="37"/>
      <c r="AO292" s="2"/>
      <c r="AP292" s="33"/>
      <c r="AT292" s="2"/>
      <c r="AU292" s="33"/>
    </row>
    <row r="293" spans="5:47" x14ac:dyDescent="0.25">
      <c r="E293" s="23"/>
      <c r="U293" s="2"/>
      <c r="V293" s="33"/>
      <c r="X293" s="2"/>
      <c r="Z293" s="2"/>
      <c r="AA293" s="33"/>
      <c r="AC293" s="16"/>
      <c r="AJ293" s="2"/>
      <c r="AK293" s="57"/>
      <c r="AL293" s="15"/>
      <c r="AM293" s="37"/>
      <c r="AO293" s="2"/>
      <c r="AP293" s="33"/>
      <c r="AT293" s="2"/>
      <c r="AU293" s="33"/>
    </row>
    <row r="294" spans="5:47" x14ac:dyDescent="0.25">
      <c r="E294" s="23"/>
      <c r="U294" s="2"/>
      <c r="V294" s="33"/>
      <c r="X294" s="2"/>
      <c r="Z294" s="2"/>
      <c r="AA294" s="33"/>
      <c r="AC294" s="16"/>
      <c r="AJ294" s="2"/>
      <c r="AK294" s="57"/>
      <c r="AL294" s="15"/>
      <c r="AM294" s="37"/>
      <c r="AO294" s="2"/>
      <c r="AP294" s="33"/>
      <c r="AT294" s="2"/>
      <c r="AU294" s="33"/>
    </row>
    <row r="295" spans="5:47" x14ac:dyDescent="0.25">
      <c r="E295" s="23"/>
      <c r="U295" s="2"/>
      <c r="V295" s="33"/>
      <c r="X295" s="2"/>
      <c r="Z295" s="2"/>
      <c r="AA295" s="33"/>
      <c r="AC295" s="16"/>
      <c r="AJ295" s="2"/>
      <c r="AK295" s="57"/>
      <c r="AL295" s="15"/>
      <c r="AM295" s="37"/>
      <c r="AO295" s="2"/>
      <c r="AP295" s="33"/>
      <c r="AT295" s="2"/>
      <c r="AU295" s="33"/>
    </row>
    <row r="296" spans="5:47" x14ac:dyDescent="0.25">
      <c r="U296" s="2"/>
      <c r="V296" s="33"/>
      <c r="X296" s="2"/>
      <c r="Z296" s="2"/>
      <c r="AA296" s="33"/>
      <c r="AC296" s="16"/>
      <c r="AJ296" s="2"/>
      <c r="AK296" s="57"/>
      <c r="AL296" s="15"/>
      <c r="AM296" s="37"/>
      <c r="AO296" s="2"/>
      <c r="AP296" s="33"/>
      <c r="AT296" s="2"/>
      <c r="AU296" s="33"/>
    </row>
    <row r="297" spans="5:47" x14ac:dyDescent="0.25">
      <c r="U297" s="2"/>
      <c r="V297" s="33"/>
      <c r="X297" s="2"/>
      <c r="Z297" s="2"/>
      <c r="AA297" s="33"/>
      <c r="AC297" s="16"/>
      <c r="AJ297" s="2"/>
      <c r="AK297" s="57"/>
      <c r="AL297" s="15"/>
      <c r="AM297" s="37"/>
      <c r="AO297" s="2"/>
      <c r="AP297" s="33"/>
      <c r="AT297" s="2"/>
      <c r="AU297" s="33"/>
    </row>
    <row r="298" spans="5:47" x14ac:dyDescent="0.25">
      <c r="U298" s="2"/>
      <c r="V298" s="33"/>
      <c r="X298" s="2"/>
      <c r="Z298" s="2"/>
      <c r="AA298" s="33"/>
      <c r="AC298" s="16"/>
      <c r="AJ298" s="2"/>
      <c r="AK298" s="57"/>
      <c r="AL298" s="15"/>
      <c r="AM298" s="37"/>
      <c r="AO298" s="2"/>
      <c r="AP298" s="33"/>
      <c r="AT298" s="2"/>
      <c r="AU298" s="33"/>
    </row>
    <row r="299" spans="5:47" x14ac:dyDescent="0.25">
      <c r="U299" s="2"/>
      <c r="V299" s="33"/>
      <c r="X299" s="2"/>
      <c r="AA299" s="33"/>
      <c r="AC299" s="16"/>
      <c r="AJ299" s="2"/>
      <c r="AP299" s="33"/>
      <c r="AT299" s="2"/>
      <c r="AU299" s="33"/>
    </row>
    <row r="300" spans="5:47" x14ac:dyDescent="0.25">
      <c r="U300" s="2"/>
      <c r="V300" s="33"/>
      <c r="X300" s="2"/>
      <c r="AA300" s="33"/>
      <c r="AC300" s="16"/>
      <c r="AJ300" s="2"/>
      <c r="AP300" s="33"/>
      <c r="AT300" s="2"/>
      <c r="AU300" s="33"/>
    </row>
    <row r="301" spans="5:47" x14ac:dyDescent="0.25">
      <c r="U301" s="2"/>
      <c r="V301" s="33"/>
      <c r="X301" s="2"/>
      <c r="AA301" s="33"/>
      <c r="AC301" s="16"/>
      <c r="AJ301" s="2"/>
      <c r="AP301" s="33"/>
      <c r="AT301" s="2"/>
      <c r="AU301" s="33"/>
    </row>
    <row r="302" spans="5:47" x14ac:dyDescent="0.25">
      <c r="U302" s="2"/>
      <c r="V302" s="33"/>
      <c r="X302" s="2"/>
      <c r="AA302" s="33"/>
      <c r="AC302" s="16"/>
      <c r="AJ302" s="2"/>
      <c r="AP302" s="33"/>
      <c r="AT302" s="2"/>
      <c r="AU302" s="33"/>
    </row>
    <row r="303" spans="5:47" x14ac:dyDescent="0.25">
      <c r="V303" s="33"/>
      <c r="X303" s="2"/>
      <c r="AA303" s="33"/>
      <c r="AC303" s="16"/>
      <c r="AJ303" s="2"/>
      <c r="AP303" s="33"/>
      <c r="AT303" s="2"/>
      <c r="AU303" s="33"/>
    </row>
    <row r="304" spans="5:47" x14ac:dyDescent="0.25">
      <c r="V304" s="33"/>
      <c r="X304" s="2"/>
      <c r="AA304" s="33"/>
      <c r="AC304" s="16"/>
      <c r="AJ304" s="2"/>
      <c r="AP304" s="33"/>
      <c r="AT304" s="2"/>
      <c r="AU304" s="33"/>
    </row>
    <row r="305" spans="22:47" x14ac:dyDescent="0.25">
      <c r="V305" s="33"/>
      <c r="X305" s="2"/>
      <c r="AA305" s="33"/>
      <c r="AC305" s="16"/>
      <c r="AJ305" s="2"/>
      <c r="AP305" s="33"/>
      <c r="AT305" s="2"/>
      <c r="AU305" s="33"/>
    </row>
    <row r="306" spans="22:47" x14ac:dyDescent="0.25">
      <c r="V306" s="33"/>
      <c r="X306" s="2"/>
      <c r="AA306" s="33"/>
      <c r="AC306" s="16"/>
      <c r="AJ306" s="2"/>
      <c r="AP306" s="33"/>
      <c r="AT306" s="2"/>
      <c r="AU306" s="33"/>
    </row>
    <row r="307" spans="22:47" x14ac:dyDescent="0.25">
      <c r="V307" s="33"/>
      <c r="X307" s="2"/>
      <c r="AA307" s="33"/>
      <c r="AC307" s="16"/>
      <c r="AJ307" s="2"/>
      <c r="AP307" s="33"/>
      <c r="AT307" s="2"/>
      <c r="AU307" s="33"/>
    </row>
    <row r="308" spans="22:47" x14ac:dyDescent="0.25">
      <c r="V308" s="33"/>
      <c r="X308" s="2"/>
      <c r="AA308" s="33"/>
      <c r="AC308" s="16"/>
      <c r="AJ308" s="2"/>
      <c r="AP308" s="33"/>
      <c r="AT308" s="2"/>
      <c r="AU308" s="33"/>
    </row>
    <row r="309" spans="22:47" x14ac:dyDescent="0.25">
      <c r="V309" s="33"/>
      <c r="X309" s="2"/>
      <c r="AA309" s="33"/>
      <c r="AC309" s="16"/>
      <c r="AJ309" s="2"/>
      <c r="AP309" s="33"/>
      <c r="AT309" s="2"/>
      <c r="AU309" s="33"/>
    </row>
    <row r="310" spans="22:47" x14ac:dyDescent="0.25">
      <c r="V310" s="33"/>
      <c r="X310" s="2"/>
      <c r="AA310" s="33"/>
      <c r="AC310" s="16"/>
      <c r="AJ310" s="2"/>
      <c r="AP310" s="33"/>
      <c r="AT310" s="2"/>
      <c r="AU310" s="33"/>
    </row>
    <row r="311" spans="22:47" x14ac:dyDescent="0.25">
      <c r="V311" s="33"/>
      <c r="X311" s="2"/>
      <c r="AA311" s="33"/>
      <c r="AC311" s="16"/>
      <c r="AJ311" s="2"/>
      <c r="AP311" s="33"/>
      <c r="AT311" s="2"/>
      <c r="AU311" s="33"/>
    </row>
    <row r="312" spans="22:47" x14ac:dyDescent="0.25">
      <c r="V312" s="33"/>
      <c r="X312" s="2"/>
      <c r="AA312" s="33"/>
      <c r="AC312" s="16"/>
      <c r="AJ312" s="2"/>
      <c r="AP312" s="33"/>
      <c r="AT312" s="2"/>
      <c r="AU312" s="33"/>
    </row>
    <row r="313" spans="22:47" x14ac:dyDescent="0.25">
      <c r="V313" s="33"/>
      <c r="X313" s="2"/>
      <c r="AA313" s="33"/>
      <c r="AC313" s="16"/>
      <c r="AJ313" s="2"/>
      <c r="AP313" s="33"/>
      <c r="AT313" s="2"/>
      <c r="AU313" s="33"/>
    </row>
    <row r="314" spans="22:47" x14ac:dyDescent="0.25">
      <c r="V314" s="33"/>
      <c r="X314" s="2"/>
      <c r="AA314" s="33"/>
      <c r="AC314" s="16"/>
      <c r="AJ314" s="2"/>
      <c r="AP314" s="33"/>
      <c r="AT314" s="2"/>
      <c r="AU314" s="33"/>
    </row>
    <row r="315" spans="22:47" x14ac:dyDescent="0.25">
      <c r="V315" s="33"/>
      <c r="X315" s="2"/>
      <c r="AA315" s="33"/>
      <c r="AC315" s="16"/>
      <c r="AJ315" s="2"/>
      <c r="AP315" s="33"/>
      <c r="AT315" s="2"/>
      <c r="AU315" s="33"/>
    </row>
    <row r="316" spans="22:47" x14ac:dyDescent="0.25">
      <c r="V316" s="33"/>
      <c r="X316" s="2"/>
      <c r="AA316" s="33"/>
      <c r="AC316" s="16"/>
      <c r="AJ316" s="2"/>
      <c r="AP316" s="33"/>
      <c r="AT316" s="2"/>
      <c r="AU316" s="33"/>
    </row>
    <row r="317" spans="22:47" x14ac:dyDescent="0.25">
      <c r="V317" s="33"/>
      <c r="X317" s="2"/>
      <c r="AA317" s="33"/>
      <c r="AC317" s="16"/>
      <c r="AJ317" s="2"/>
      <c r="AP317" s="33"/>
      <c r="AT317" s="2"/>
      <c r="AU317" s="33"/>
    </row>
    <row r="318" spans="22:47" x14ac:dyDescent="0.25">
      <c r="V318" s="33"/>
      <c r="X318" s="2"/>
      <c r="AA318" s="33"/>
      <c r="AC318" s="16"/>
      <c r="AJ318" s="2"/>
      <c r="AP318" s="33"/>
      <c r="AT318" s="2"/>
      <c r="AU318" s="33"/>
    </row>
    <row r="319" spans="22:47" x14ac:dyDescent="0.25">
      <c r="V319" s="33"/>
      <c r="X319" s="2"/>
      <c r="AA319" s="33"/>
      <c r="AC319" s="16"/>
      <c r="AJ319" s="2"/>
      <c r="AP319" s="33"/>
      <c r="AT319" s="2"/>
      <c r="AU319" s="33"/>
    </row>
    <row r="320" spans="22:47" x14ac:dyDescent="0.25">
      <c r="V320" s="33"/>
      <c r="X320" s="2"/>
      <c r="AA320" s="33"/>
      <c r="AC320" s="16"/>
      <c r="AJ320" s="2"/>
      <c r="AP320" s="33"/>
      <c r="AT320" s="2"/>
      <c r="AU320" s="33"/>
    </row>
    <row r="321" spans="22:47" x14ac:dyDescent="0.25">
      <c r="V321" s="33"/>
      <c r="X321" s="2"/>
      <c r="AA321" s="33"/>
      <c r="AC321" s="16"/>
      <c r="AJ321" s="2"/>
      <c r="AP321" s="33"/>
      <c r="AT321" s="2"/>
      <c r="AU321" s="33"/>
    </row>
    <row r="322" spans="22:47" x14ac:dyDescent="0.25">
      <c r="V322" s="33"/>
      <c r="X322" s="2"/>
      <c r="AA322" s="33"/>
      <c r="AC322" s="16"/>
      <c r="AJ322" s="2"/>
      <c r="AP322" s="33"/>
      <c r="AT322" s="2"/>
      <c r="AU322" s="33"/>
    </row>
    <row r="323" spans="22:47" x14ac:dyDescent="0.25">
      <c r="V323" s="33"/>
      <c r="X323" s="2"/>
      <c r="AA323" s="33"/>
      <c r="AC323" s="16"/>
      <c r="AJ323" s="2"/>
      <c r="AP323" s="33"/>
      <c r="AT323" s="2"/>
      <c r="AU323" s="33"/>
    </row>
    <row r="324" spans="22:47" x14ac:dyDescent="0.25">
      <c r="V324" s="33"/>
      <c r="X324" s="2"/>
      <c r="AA324" s="33"/>
      <c r="AC324" s="16"/>
      <c r="AJ324" s="2"/>
      <c r="AP324" s="33"/>
      <c r="AT324" s="2"/>
      <c r="AU324" s="33"/>
    </row>
    <row r="325" spans="22:47" x14ac:dyDescent="0.25">
      <c r="V325" s="33"/>
      <c r="X325" s="2"/>
      <c r="AA325" s="33"/>
      <c r="AC325" s="16"/>
      <c r="AJ325" s="2"/>
      <c r="AP325" s="33"/>
      <c r="AT325" s="2"/>
      <c r="AU325" s="33"/>
    </row>
    <row r="326" spans="22:47" x14ac:dyDescent="0.25">
      <c r="V326" s="33"/>
      <c r="X326" s="2"/>
      <c r="AA326" s="33"/>
      <c r="AC326" s="16"/>
      <c r="AJ326" s="2"/>
      <c r="AP326" s="33"/>
      <c r="AT326" s="2"/>
      <c r="AU326" s="33"/>
    </row>
    <row r="327" spans="22:47" x14ac:dyDescent="0.25">
      <c r="V327" s="33"/>
      <c r="X327" s="2"/>
      <c r="AA327" s="33"/>
      <c r="AC327" s="16"/>
      <c r="AJ327" s="2"/>
      <c r="AP327" s="33"/>
      <c r="AT327" s="2"/>
      <c r="AU327" s="33"/>
    </row>
    <row r="328" spans="22:47" x14ac:dyDescent="0.25">
      <c r="V328" s="33"/>
      <c r="X328" s="2"/>
      <c r="AA328" s="33"/>
      <c r="AC328" s="16"/>
      <c r="AJ328" s="2"/>
      <c r="AP328" s="33"/>
      <c r="AT328" s="2"/>
      <c r="AU328" s="33"/>
    </row>
    <row r="329" spans="22:47" x14ac:dyDescent="0.25">
      <c r="V329" s="33"/>
      <c r="X329" s="2"/>
      <c r="AA329" s="33"/>
      <c r="AC329" s="16"/>
      <c r="AJ329" s="2"/>
      <c r="AP329" s="33"/>
      <c r="AT329" s="2"/>
      <c r="AU329" s="33"/>
    </row>
    <row r="330" spans="22:47" x14ac:dyDescent="0.25">
      <c r="X330" s="2"/>
      <c r="AA330" s="33"/>
      <c r="AC330" s="16"/>
      <c r="AJ330" s="2"/>
      <c r="AP330" s="33"/>
      <c r="AT330" s="2"/>
      <c r="AU330" s="33"/>
    </row>
    <row r="331" spans="22:47" x14ac:dyDescent="0.25">
      <c r="X331" s="2"/>
      <c r="AA331" s="33"/>
      <c r="AC331" s="16"/>
      <c r="AJ331" s="2"/>
      <c r="AP331" s="33"/>
      <c r="AT331" s="2"/>
      <c r="AU331" s="33"/>
    </row>
    <row r="332" spans="22:47" x14ac:dyDescent="0.25">
      <c r="X332" s="2"/>
      <c r="AA332" s="33"/>
      <c r="AC332" s="16"/>
      <c r="AJ332" s="2"/>
      <c r="AP332" s="33"/>
      <c r="AT332" s="2"/>
      <c r="AU332" s="33"/>
    </row>
    <row r="333" spans="22:47" x14ac:dyDescent="0.25">
      <c r="X333" s="2"/>
      <c r="AA333" s="33"/>
      <c r="AC333" s="16"/>
      <c r="AJ333" s="2"/>
      <c r="AP333" s="33"/>
      <c r="AT333" s="2"/>
      <c r="AU333" s="33"/>
    </row>
    <row r="334" spans="22:47" x14ac:dyDescent="0.25">
      <c r="X334" s="2"/>
      <c r="AA334" s="33"/>
      <c r="AC334" s="16"/>
      <c r="AJ334" s="2"/>
      <c r="AP334" s="33"/>
      <c r="AT334" s="2"/>
      <c r="AU334" s="33"/>
    </row>
    <row r="335" spans="22:47" x14ac:dyDescent="0.25">
      <c r="X335" s="2"/>
      <c r="AA335" s="33"/>
      <c r="AC335" s="16"/>
      <c r="AJ335" s="2"/>
      <c r="AP335" s="33"/>
      <c r="AT335" s="2"/>
      <c r="AU335" s="33"/>
    </row>
    <row r="336" spans="22:47" x14ac:dyDescent="0.25">
      <c r="X336" s="2"/>
      <c r="AA336" s="33"/>
      <c r="AC336" s="16"/>
      <c r="AJ336" s="2"/>
      <c r="AP336" s="33"/>
      <c r="AT336" s="2"/>
      <c r="AU336" s="33"/>
    </row>
    <row r="337" spans="24:47" x14ac:dyDescent="0.25">
      <c r="X337" s="2"/>
      <c r="AA337" s="33"/>
      <c r="AC337" s="16"/>
      <c r="AJ337" s="2"/>
      <c r="AP337" s="33"/>
      <c r="AT337" s="2"/>
      <c r="AU337" s="33"/>
    </row>
    <row r="338" spans="24:47" x14ac:dyDescent="0.25">
      <c r="X338" s="2"/>
      <c r="AA338" s="33"/>
      <c r="AC338" s="16"/>
      <c r="AJ338" s="2"/>
      <c r="AP338" s="33"/>
      <c r="AT338" s="2"/>
      <c r="AU338" s="33"/>
    </row>
    <row r="339" spans="24:47" x14ac:dyDescent="0.25">
      <c r="X339" s="2"/>
      <c r="AA339" s="33"/>
      <c r="AC339" s="16"/>
      <c r="AJ339" s="2"/>
      <c r="AP339" s="33"/>
      <c r="AT339" s="2"/>
      <c r="AU339" s="33"/>
    </row>
    <row r="340" spans="24:47" x14ac:dyDescent="0.25">
      <c r="X340" s="2"/>
      <c r="AA340" s="33"/>
      <c r="AC340" s="16"/>
      <c r="AJ340" s="2"/>
      <c r="AP340" s="33"/>
      <c r="AT340" s="2"/>
      <c r="AU340" s="33"/>
    </row>
    <row r="341" spans="24:47" x14ac:dyDescent="0.25">
      <c r="X341" s="2"/>
      <c r="AA341" s="33"/>
      <c r="AC341" s="16"/>
      <c r="AJ341" s="2"/>
      <c r="AP341" s="33"/>
      <c r="AT341" s="2"/>
      <c r="AU341" s="33"/>
    </row>
    <row r="342" spans="24:47" x14ac:dyDescent="0.25">
      <c r="X342" s="2"/>
      <c r="AA342" s="33"/>
      <c r="AC342" s="16"/>
      <c r="AJ342" s="2"/>
      <c r="AP342" s="33"/>
      <c r="AT342" s="2"/>
      <c r="AU342" s="33"/>
    </row>
    <row r="343" spans="24:47" x14ac:dyDescent="0.25">
      <c r="X343" s="2"/>
      <c r="AA343" s="33"/>
      <c r="AC343" s="16"/>
      <c r="AJ343" s="2"/>
      <c r="AP343" s="33"/>
      <c r="AT343" s="2"/>
      <c r="AU343" s="33"/>
    </row>
    <row r="344" spans="24:47" x14ac:dyDescent="0.25">
      <c r="X344" s="2"/>
      <c r="AA344" s="33"/>
      <c r="AC344" s="16"/>
      <c r="AJ344" s="2"/>
      <c r="AP344" s="33"/>
      <c r="AT344" s="2"/>
      <c r="AU344" s="33"/>
    </row>
    <row r="345" spans="24:47" x14ac:dyDescent="0.25">
      <c r="X345" s="2"/>
      <c r="AA345" s="33"/>
      <c r="AC345" s="16"/>
      <c r="AJ345" s="2"/>
      <c r="AP345" s="33"/>
      <c r="AT345" s="2"/>
      <c r="AU345" s="33"/>
    </row>
    <row r="346" spans="24:47" x14ac:dyDescent="0.25">
      <c r="X346" s="2"/>
      <c r="AA346" s="33"/>
      <c r="AC346" s="16"/>
      <c r="AJ346" s="2"/>
      <c r="AP346" s="33"/>
      <c r="AT346" s="2"/>
      <c r="AU346" s="33"/>
    </row>
    <row r="347" spans="24:47" x14ac:dyDescent="0.25">
      <c r="X347" s="2"/>
      <c r="AA347" s="33"/>
      <c r="AC347" s="16"/>
      <c r="AJ347" s="2"/>
      <c r="AP347" s="33"/>
      <c r="AT347" s="2"/>
      <c r="AU347" s="33"/>
    </row>
    <row r="348" spans="24:47" x14ac:dyDescent="0.25">
      <c r="X348" s="2"/>
      <c r="AA348" s="33"/>
      <c r="AC348" s="16"/>
      <c r="AJ348" s="2"/>
      <c r="AP348" s="33"/>
      <c r="AT348" s="2"/>
      <c r="AU348" s="33"/>
    </row>
    <row r="349" spans="24:47" x14ac:dyDescent="0.25">
      <c r="X349" s="2"/>
      <c r="AA349" s="33"/>
      <c r="AC349" s="16"/>
      <c r="AJ349" s="2"/>
      <c r="AP349" s="33"/>
      <c r="AT349" s="2"/>
      <c r="AU349" s="33"/>
    </row>
    <row r="350" spans="24:47" x14ac:dyDescent="0.25">
      <c r="X350" s="2"/>
      <c r="AA350" s="33"/>
      <c r="AC350" s="16"/>
      <c r="AJ350" s="2"/>
      <c r="AP350" s="33"/>
      <c r="AT350" s="2"/>
      <c r="AU350" s="33"/>
    </row>
    <row r="351" spans="24:47" x14ac:dyDescent="0.25">
      <c r="X351" s="2"/>
      <c r="AA351" s="33"/>
      <c r="AC351" s="16"/>
      <c r="AJ351" s="2"/>
      <c r="AP351" s="33"/>
      <c r="AT351" s="2"/>
      <c r="AU351" s="33"/>
    </row>
    <row r="352" spans="24:47" x14ac:dyDescent="0.25">
      <c r="X352" s="2"/>
      <c r="AA352" s="33"/>
      <c r="AC352" s="16"/>
      <c r="AJ352" s="2"/>
      <c r="AP352" s="33"/>
      <c r="AT352" s="2"/>
      <c r="AU352" s="33"/>
    </row>
    <row r="353" spans="24:47" x14ac:dyDescent="0.25">
      <c r="X353" s="2"/>
      <c r="AA353" s="33"/>
      <c r="AC353" s="16"/>
      <c r="AJ353" s="2"/>
      <c r="AP353" s="33"/>
      <c r="AU353" s="33"/>
    </row>
    <row r="354" spans="24:47" x14ac:dyDescent="0.25">
      <c r="X354" s="2"/>
      <c r="AA354" s="33"/>
      <c r="AC354" s="16"/>
      <c r="AJ354" s="2"/>
      <c r="AP354" s="33"/>
      <c r="AU354" s="33"/>
    </row>
    <row r="355" spans="24:47" x14ac:dyDescent="0.25">
      <c r="X355" s="2"/>
      <c r="AA355" s="33"/>
      <c r="AC355" s="16"/>
      <c r="AJ355" s="2"/>
      <c r="AU355" s="33"/>
    </row>
    <row r="356" spans="24:47" x14ac:dyDescent="0.25">
      <c r="X356" s="2"/>
      <c r="AA356" s="33"/>
      <c r="AC356" s="16"/>
      <c r="AJ356" s="2"/>
      <c r="AU356" s="33"/>
    </row>
    <row r="357" spans="24:47" x14ac:dyDescent="0.25">
      <c r="AA357" s="33"/>
      <c r="AC357" s="16"/>
      <c r="AJ357" s="2"/>
      <c r="AU357" s="33"/>
    </row>
    <row r="358" spans="24:47" x14ac:dyDescent="0.25">
      <c r="AA358" s="33"/>
      <c r="AC358" s="16"/>
      <c r="AJ358" s="2"/>
      <c r="AU358" s="33"/>
    </row>
    <row r="359" spans="24:47" x14ac:dyDescent="0.25">
      <c r="AA359" s="33"/>
      <c r="AC359" s="16"/>
      <c r="AJ359" s="2"/>
      <c r="AU359" s="33"/>
    </row>
    <row r="360" spans="24:47" x14ac:dyDescent="0.25">
      <c r="AA360" s="33"/>
      <c r="AC360" s="16"/>
      <c r="AJ360" s="2"/>
      <c r="AU360" s="33"/>
    </row>
    <row r="361" spans="24:47" x14ac:dyDescent="0.25">
      <c r="AA361" s="33"/>
      <c r="AC361" s="16"/>
      <c r="AJ361" s="2"/>
      <c r="AU361" s="33"/>
    </row>
    <row r="362" spans="24:47" x14ac:dyDescent="0.25">
      <c r="AC362" s="16"/>
      <c r="AJ362" s="2"/>
      <c r="AU362" s="33"/>
    </row>
    <row r="363" spans="24:47" x14ac:dyDescent="0.25">
      <c r="AC363" s="16"/>
      <c r="AJ363" s="2"/>
      <c r="AU363" s="33"/>
    </row>
    <row r="364" spans="24:47" x14ac:dyDescent="0.25">
      <c r="AC364" s="16"/>
      <c r="AJ364" s="2"/>
      <c r="AU364" s="33"/>
    </row>
    <row r="365" spans="24:47" x14ac:dyDescent="0.25">
      <c r="AC365" s="16"/>
      <c r="AJ365" s="2"/>
      <c r="AU365" s="33"/>
    </row>
    <row r="366" spans="24:47" x14ac:dyDescent="0.25">
      <c r="AC366" s="16"/>
      <c r="AJ366" s="2"/>
      <c r="AU366" s="33"/>
    </row>
    <row r="367" spans="24:47" x14ac:dyDescent="0.25">
      <c r="AC367" s="16"/>
      <c r="AJ367" s="2"/>
      <c r="AU367" s="33"/>
    </row>
    <row r="368" spans="24:47" x14ac:dyDescent="0.25">
      <c r="AC368" s="16"/>
      <c r="AJ368" s="2"/>
      <c r="AU368" s="33"/>
    </row>
    <row r="369" spans="29:47" x14ac:dyDescent="0.25">
      <c r="AC369" s="16"/>
      <c r="AJ369" s="2"/>
      <c r="AU369" s="33"/>
    </row>
    <row r="370" spans="29:47" x14ac:dyDescent="0.25">
      <c r="AC370" s="16"/>
      <c r="AJ370" s="2"/>
      <c r="AU370" s="33"/>
    </row>
    <row r="371" spans="29:47" x14ac:dyDescent="0.25">
      <c r="AC371" s="16"/>
      <c r="AJ371" s="2"/>
      <c r="AU371" s="33"/>
    </row>
    <row r="372" spans="29:47" x14ac:dyDescent="0.25">
      <c r="AC372" s="16"/>
      <c r="AJ372" s="2"/>
      <c r="AU372" s="33"/>
    </row>
    <row r="373" spans="29:47" x14ac:dyDescent="0.25">
      <c r="AC373" s="16"/>
      <c r="AJ373" s="2"/>
      <c r="AU373" s="33"/>
    </row>
    <row r="374" spans="29:47" x14ac:dyDescent="0.25">
      <c r="AC374" s="16"/>
      <c r="AJ374" s="2"/>
      <c r="AU374" s="33"/>
    </row>
    <row r="375" spans="29:47" x14ac:dyDescent="0.25">
      <c r="AC375" s="16"/>
      <c r="AJ375" s="2"/>
      <c r="AU375" s="33"/>
    </row>
    <row r="376" spans="29:47" x14ac:dyDescent="0.25">
      <c r="AC376" s="16"/>
      <c r="AJ376" s="2"/>
      <c r="AU376" s="33"/>
    </row>
    <row r="377" spans="29:47" x14ac:dyDescent="0.25">
      <c r="AC377" s="16"/>
      <c r="AJ377" s="2"/>
      <c r="AU377" s="33"/>
    </row>
    <row r="378" spans="29:47" x14ac:dyDescent="0.25">
      <c r="AC378" s="16"/>
      <c r="AJ378" s="2"/>
      <c r="AU378" s="33"/>
    </row>
    <row r="379" spans="29:47" x14ac:dyDescent="0.25">
      <c r="AC379" s="16"/>
      <c r="AJ379" s="2"/>
      <c r="AU379" s="33"/>
    </row>
    <row r="380" spans="29:47" x14ac:dyDescent="0.25">
      <c r="AC380" s="16"/>
      <c r="AJ380" s="2"/>
      <c r="AU380" s="33"/>
    </row>
    <row r="381" spans="29:47" x14ac:dyDescent="0.25">
      <c r="AC381" s="16"/>
      <c r="AJ381" s="2"/>
      <c r="AU381" s="33"/>
    </row>
    <row r="382" spans="29:47" x14ac:dyDescent="0.25">
      <c r="AC382" s="16"/>
      <c r="AJ382" s="2"/>
      <c r="AU382" s="33"/>
    </row>
    <row r="383" spans="29:47" x14ac:dyDescent="0.25">
      <c r="AC383" s="16"/>
      <c r="AJ383" s="2"/>
      <c r="AU383" s="33"/>
    </row>
    <row r="384" spans="29:47" x14ac:dyDescent="0.25">
      <c r="AC384" s="16"/>
      <c r="AJ384" s="2"/>
      <c r="AU384" s="33"/>
    </row>
    <row r="385" spans="29:47" x14ac:dyDescent="0.25">
      <c r="AC385" s="16"/>
      <c r="AJ385" s="2"/>
      <c r="AU385" s="33"/>
    </row>
    <row r="386" spans="29:47" x14ac:dyDescent="0.25">
      <c r="AC386" s="16"/>
      <c r="AJ386" s="2"/>
      <c r="AU386" s="33"/>
    </row>
    <row r="387" spans="29:47" x14ac:dyDescent="0.25">
      <c r="AC387" s="16"/>
      <c r="AJ387" s="2"/>
      <c r="AU387" s="33"/>
    </row>
    <row r="388" spans="29:47" x14ac:dyDescent="0.25">
      <c r="AC388" s="16"/>
      <c r="AJ388" s="2"/>
      <c r="AU388" s="33"/>
    </row>
    <row r="389" spans="29:47" x14ac:dyDescent="0.25">
      <c r="AC389" s="16"/>
      <c r="AJ389" s="2"/>
      <c r="AU389" s="33"/>
    </row>
    <row r="390" spans="29:47" x14ac:dyDescent="0.25">
      <c r="AC390" s="16"/>
      <c r="AJ390" s="2"/>
      <c r="AU390" s="33"/>
    </row>
    <row r="391" spans="29:47" x14ac:dyDescent="0.25">
      <c r="AC391" s="16"/>
      <c r="AJ391" s="2"/>
      <c r="AU391" s="33"/>
    </row>
    <row r="392" spans="29:47" x14ac:dyDescent="0.25">
      <c r="AC392" s="16"/>
      <c r="AJ392" s="2"/>
      <c r="AU392" s="33"/>
    </row>
    <row r="393" spans="29:47" x14ac:dyDescent="0.25">
      <c r="AC393" s="16"/>
      <c r="AJ393" s="2"/>
      <c r="AU393" s="33"/>
    </row>
    <row r="394" spans="29:47" x14ac:dyDescent="0.25">
      <c r="AC394" s="16"/>
      <c r="AJ394" s="2"/>
      <c r="AU394" s="33"/>
    </row>
    <row r="395" spans="29:47" x14ac:dyDescent="0.25">
      <c r="AC395" s="16"/>
      <c r="AJ395" s="2"/>
      <c r="AU395" s="33"/>
    </row>
    <row r="396" spans="29:47" x14ac:dyDescent="0.25">
      <c r="AC396" s="16"/>
      <c r="AJ396" s="2"/>
      <c r="AU396" s="33"/>
    </row>
    <row r="397" spans="29:47" x14ac:dyDescent="0.25">
      <c r="AC397" s="16"/>
      <c r="AJ397" s="2"/>
      <c r="AU397" s="33"/>
    </row>
    <row r="398" spans="29:47" x14ac:dyDescent="0.25">
      <c r="AC398" s="16"/>
      <c r="AJ398" s="2"/>
      <c r="AU398" s="33"/>
    </row>
    <row r="399" spans="29:47" x14ac:dyDescent="0.25">
      <c r="AC399" s="16"/>
      <c r="AJ399" s="2"/>
      <c r="AU399" s="33"/>
    </row>
    <row r="400" spans="29:47" x14ac:dyDescent="0.25">
      <c r="AC400" s="16"/>
      <c r="AJ400" s="2"/>
      <c r="AU400" s="33"/>
    </row>
    <row r="401" spans="29:47" x14ac:dyDescent="0.25">
      <c r="AC401" s="16"/>
      <c r="AJ401" s="2"/>
      <c r="AU401" s="33"/>
    </row>
    <row r="402" spans="29:47" x14ac:dyDescent="0.25">
      <c r="AC402" s="16"/>
      <c r="AJ402" s="2"/>
      <c r="AU402" s="33"/>
    </row>
    <row r="403" spans="29:47" x14ac:dyDescent="0.25">
      <c r="AC403" s="16"/>
      <c r="AJ403" s="2"/>
      <c r="AU403" s="33"/>
    </row>
    <row r="404" spans="29:47" x14ac:dyDescent="0.25">
      <c r="AC404" s="16"/>
      <c r="AJ404" s="2"/>
      <c r="AU404" s="33"/>
    </row>
    <row r="405" spans="29:47" x14ac:dyDescent="0.25">
      <c r="AC405" s="16"/>
      <c r="AJ405" s="2"/>
      <c r="AU405" s="33"/>
    </row>
    <row r="406" spans="29:47" x14ac:dyDescent="0.25">
      <c r="AC406" s="16"/>
      <c r="AJ406" s="2"/>
      <c r="AU406" s="33"/>
    </row>
    <row r="407" spans="29:47" x14ac:dyDescent="0.25">
      <c r="AC407" s="16"/>
      <c r="AJ407" s="2"/>
      <c r="AU407" s="33"/>
    </row>
    <row r="408" spans="29:47" x14ac:dyDescent="0.25">
      <c r="AC408" s="16"/>
      <c r="AJ408" s="2"/>
      <c r="AU408" s="33"/>
    </row>
    <row r="409" spans="29:47" x14ac:dyDescent="0.25">
      <c r="AC409" s="16"/>
      <c r="AJ409" s="2"/>
      <c r="AU409" s="33"/>
    </row>
    <row r="410" spans="29:47" x14ac:dyDescent="0.25">
      <c r="AC410" s="16"/>
      <c r="AJ410" s="2"/>
      <c r="AU410" s="33"/>
    </row>
    <row r="411" spans="29:47" x14ac:dyDescent="0.25">
      <c r="AC411" s="16"/>
      <c r="AJ411" s="2"/>
      <c r="AU411" s="33"/>
    </row>
    <row r="412" spans="29:47" x14ac:dyDescent="0.25">
      <c r="AC412" s="16"/>
      <c r="AJ412" s="2"/>
      <c r="AU412" s="33"/>
    </row>
    <row r="413" spans="29:47" x14ac:dyDescent="0.25">
      <c r="AC413" s="16"/>
      <c r="AJ413" s="2"/>
      <c r="AU413" s="33"/>
    </row>
    <row r="414" spans="29:47" x14ac:dyDescent="0.25">
      <c r="AC414" s="16"/>
      <c r="AJ414" s="2"/>
      <c r="AU414" s="33"/>
    </row>
    <row r="415" spans="29:47" x14ac:dyDescent="0.25">
      <c r="AC415" s="16"/>
      <c r="AJ415" s="2"/>
      <c r="AU415" s="33"/>
    </row>
    <row r="416" spans="29:47" x14ac:dyDescent="0.25">
      <c r="AC416" s="16"/>
      <c r="AJ416" s="2"/>
      <c r="AU416" s="33"/>
    </row>
    <row r="417" spans="29:47" x14ac:dyDescent="0.25">
      <c r="AC417" s="16"/>
      <c r="AJ417" s="2"/>
      <c r="AU417" s="33"/>
    </row>
    <row r="418" spans="29:47" x14ac:dyDescent="0.25">
      <c r="AC418" s="16"/>
      <c r="AJ418" s="2"/>
      <c r="AU418" s="33"/>
    </row>
    <row r="419" spans="29:47" x14ac:dyDescent="0.25">
      <c r="AC419" s="16"/>
      <c r="AJ419" s="2"/>
      <c r="AU419" s="33"/>
    </row>
    <row r="420" spans="29:47" x14ac:dyDescent="0.25">
      <c r="AC420" s="16"/>
      <c r="AJ420" s="2"/>
      <c r="AU420" s="33"/>
    </row>
    <row r="421" spans="29:47" x14ac:dyDescent="0.25">
      <c r="AC421" s="16"/>
      <c r="AJ421" s="2"/>
      <c r="AU421" s="33"/>
    </row>
    <row r="422" spans="29:47" x14ac:dyDescent="0.25">
      <c r="AC422" s="16"/>
      <c r="AJ422" s="2"/>
      <c r="AU422" s="33"/>
    </row>
    <row r="423" spans="29:47" x14ac:dyDescent="0.25">
      <c r="AC423" s="16"/>
      <c r="AJ423" s="2"/>
      <c r="AU423" s="33"/>
    </row>
    <row r="424" spans="29:47" x14ac:dyDescent="0.25">
      <c r="AC424" s="16"/>
      <c r="AJ424" s="2"/>
      <c r="AU424" s="33"/>
    </row>
    <row r="425" spans="29:47" x14ac:dyDescent="0.25">
      <c r="AC425" s="16"/>
      <c r="AJ425" s="2"/>
      <c r="AU425" s="33"/>
    </row>
    <row r="426" spans="29:47" x14ac:dyDescent="0.25">
      <c r="AC426" s="16"/>
      <c r="AJ426" s="2"/>
      <c r="AU426" s="33"/>
    </row>
    <row r="427" spans="29:47" x14ac:dyDescent="0.25">
      <c r="AC427" s="16"/>
      <c r="AJ427" s="2"/>
      <c r="AU427" s="33"/>
    </row>
    <row r="428" spans="29:47" x14ac:dyDescent="0.25">
      <c r="AC428" s="16"/>
      <c r="AJ428" s="2"/>
      <c r="AU428" s="33"/>
    </row>
    <row r="429" spans="29:47" x14ac:dyDescent="0.25">
      <c r="AC429" s="16"/>
      <c r="AJ429" s="2"/>
      <c r="AU429" s="33"/>
    </row>
    <row r="430" spans="29:47" x14ac:dyDescent="0.25">
      <c r="AC430" s="16"/>
      <c r="AJ430" s="2"/>
      <c r="AU430" s="33"/>
    </row>
    <row r="431" spans="29:47" x14ac:dyDescent="0.25">
      <c r="AC431" s="16"/>
      <c r="AJ431" s="2"/>
      <c r="AU431" s="33"/>
    </row>
    <row r="432" spans="29:47" x14ac:dyDescent="0.25">
      <c r="AC432" s="16"/>
      <c r="AJ432" s="2"/>
      <c r="AU432" s="33"/>
    </row>
    <row r="433" spans="29:47" x14ac:dyDescent="0.25">
      <c r="AC433" s="16"/>
      <c r="AJ433" s="2"/>
      <c r="AU433" s="33"/>
    </row>
    <row r="434" spans="29:47" x14ac:dyDescent="0.25">
      <c r="AC434" s="16"/>
      <c r="AJ434" s="2"/>
      <c r="AU434" s="33"/>
    </row>
    <row r="435" spans="29:47" x14ac:dyDescent="0.25">
      <c r="AC435" s="16"/>
      <c r="AJ435" s="2"/>
      <c r="AU435" s="33"/>
    </row>
    <row r="436" spans="29:47" x14ac:dyDescent="0.25">
      <c r="AC436" s="16"/>
      <c r="AJ436" s="2"/>
      <c r="AU436" s="33"/>
    </row>
    <row r="437" spans="29:47" x14ac:dyDescent="0.25">
      <c r="AC437" s="16"/>
      <c r="AJ437" s="2"/>
      <c r="AU437" s="33"/>
    </row>
    <row r="438" spans="29:47" x14ac:dyDescent="0.25">
      <c r="AC438" s="16"/>
      <c r="AJ438" s="2"/>
      <c r="AU438" s="33"/>
    </row>
    <row r="439" spans="29:47" x14ac:dyDescent="0.25">
      <c r="AC439" s="16"/>
      <c r="AJ439" s="2"/>
      <c r="AU439" s="33"/>
    </row>
    <row r="440" spans="29:47" x14ac:dyDescent="0.25">
      <c r="AC440" s="16"/>
      <c r="AJ440" s="2"/>
      <c r="AU440" s="33"/>
    </row>
    <row r="441" spans="29:47" x14ac:dyDescent="0.25">
      <c r="AC441" s="16"/>
      <c r="AJ441" s="2"/>
      <c r="AU441" s="33"/>
    </row>
    <row r="442" spans="29:47" x14ac:dyDescent="0.25">
      <c r="AC442" s="16"/>
      <c r="AJ442" s="2"/>
      <c r="AU442" s="33"/>
    </row>
    <row r="443" spans="29:47" x14ac:dyDescent="0.25">
      <c r="AC443" s="16"/>
      <c r="AJ443" s="2"/>
      <c r="AU443" s="33"/>
    </row>
    <row r="444" spans="29:47" x14ac:dyDescent="0.25">
      <c r="AC444" s="16"/>
      <c r="AJ444" s="2"/>
      <c r="AU444" s="33"/>
    </row>
    <row r="445" spans="29:47" x14ac:dyDescent="0.25">
      <c r="AC445" s="16"/>
      <c r="AJ445" s="2"/>
      <c r="AU445" s="33"/>
    </row>
    <row r="446" spans="29:47" x14ac:dyDescent="0.25">
      <c r="AC446" s="16"/>
      <c r="AJ446" s="2"/>
      <c r="AU446" s="33"/>
    </row>
    <row r="447" spans="29:47" x14ac:dyDescent="0.25">
      <c r="AC447" s="16"/>
      <c r="AJ447" s="2"/>
      <c r="AU447" s="33"/>
    </row>
    <row r="448" spans="29:47" x14ac:dyDescent="0.25">
      <c r="AC448" s="16"/>
      <c r="AJ448" s="2"/>
      <c r="AU448" s="33"/>
    </row>
    <row r="449" spans="29:47" x14ac:dyDescent="0.25">
      <c r="AC449" s="16"/>
      <c r="AJ449" s="2"/>
      <c r="AU449" s="33"/>
    </row>
    <row r="450" spans="29:47" x14ac:dyDescent="0.25">
      <c r="AC450" s="16"/>
      <c r="AJ450" s="2"/>
      <c r="AU450" s="33"/>
    </row>
    <row r="451" spans="29:47" x14ac:dyDescent="0.25">
      <c r="AC451" s="16"/>
      <c r="AJ451" s="2"/>
      <c r="AU451" s="33"/>
    </row>
    <row r="452" spans="29:47" x14ac:dyDescent="0.25">
      <c r="AC452" s="16"/>
      <c r="AJ452" s="2"/>
      <c r="AU452" s="33"/>
    </row>
    <row r="453" spans="29:47" x14ac:dyDescent="0.25">
      <c r="AC453" s="16"/>
      <c r="AJ453" s="2"/>
      <c r="AU453" s="33"/>
    </row>
    <row r="454" spans="29:47" x14ac:dyDescent="0.25">
      <c r="AC454" s="16"/>
      <c r="AJ454" s="2"/>
      <c r="AU454" s="33"/>
    </row>
    <row r="455" spans="29:47" x14ac:dyDescent="0.25">
      <c r="AC455" s="16"/>
      <c r="AJ455" s="2"/>
      <c r="AU455" s="33"/>
    </row>
    <row r="456" spans="29:47" x14ac:dyDescent="0.25">
      <c r="AC456" s="16"/>
      <c r="AJ456" s="2"/>
      <c r="AU456" s="33"/>
    </row>
    <row r="457" spans="29:47" x14ac:dyDescent="0.25">
      <c r="AC457" s="16"/>
      <c r="AJ457" s="2"/>
      <c r="AU457" s="33"/>
    </row>
    <row r="458" spans="29:47" x14ac:dyDescent="0.25">
      <c r="AC458" s="16"/>
      <c r="AJ458" s="2"/>
      <c r="AU458" s="33"/>
    </row>
    <row r="459" spans="29:47" x14ac:dyDescent="0.25">
      <c r="AC459" s="16"/>
      <c r="AJ459" s="2"/>
      <c r="AU459" s="33"/>
    </row>
    <row r="460" spans="29:47" x14ac:dyDescent="0.25">
      <c r="AC460" s="16"/>
      <c r="AJ460" s="2"/>
      <c r="AU460" s="33"/>
    </row>
    <row r="461" spans="29:47" x14ac:dyDescent="0.25">
      <c r="AC461" s="16"/>
      <c r="AJ461" s="2"/>
      <c r="AU461" s="33"/>
    </row>
    <row r="462" spans="29:47" x14ac:dyDescent="0.25">
      <c r="AC462" s="16"/>
      <c r="AJ462" s="2"/>
      <c r="AU462" s="33"/>
    </row>
    <row r="463" spans="29:47" x14ac:dyDescent="0.25">
      <c r="AC463" s="16"/>
      <c r="AJ463" s="2"/>
      <c r="AU463" s="33"/>
    </row>
    <row r="464" spans="29:47" x14ac:dyDescent="0.25">
      <c r="AC464" s="16"/>
      <c r="AJ464" s="2"/>
      <c r="AU464" s="33"/>
    </row>
    <row r="465" spans="29:47" x14ac:dyDescent="0.25">
      <c r="AC465" s="16"/>
      <c r="AJ465" s="2"/>
      <c r="AU465" s="33"/>
    </row>
    <row r="466" spans="29:47" x14ac:dyDescent="0.25">
      <c r="AC466" s="16"/>
      <c r="AJ466" s="2"/>
      <c r="AU466" s="33"/>
    </row>
    <row r="467" spans="29:47" x14ac:dyDescent="0.25">
      <c r="AC467" s="16"/>
      <c r="AJ467" s="2"/>
      <c r="AU467" s="33"/>
    </row>
    <row r="468" spans="29:47" x14ac:dyDescent="0.25">
      <c r="AC468" s="16"/>
      <c r="AJ468" s="2"/>
      <c r="AU468" s="33"/>
    </row>
    <row r="469" spans="29:47" x14ac:dyDescent="0.25">
      <c r="AC469" s="16"/>
      <c r="AJ469" s="2"/>
      <c r="AU469" s="33"/>
    </row>
    <row r="470" spans="29:47" x14ac:dyDescent="0.25">
      <c r="AC470" s="16"/>
      <c r="AJ470" s="2"/>
      <c r="AU470" s="33"/>
    </row>
    <row r="471" spans="29:47" x14ac:dyDescent="0.25">
      <c r="AC471" s="16"/>
      <c r="AJ471" s="2"/>
      <c r="AU471" s="33"/>
    </row>
    <row r="472" spans="29:47" x14ac:dyDescent="0.25">
      <c r="AC472" s="16"/>
      <c r="AJ472" s="2"/>
      <c r="AU472" s="33"/>
    </row>
    <row r="473" spans="29:47" x14ac:dyDescent="0.25">
      <c r="AC473" s="16"/>
      <c r="AJ473" s="2"/>
      <c r="AU473" s="33"/>
    </row>
    <row r="474" spans="29:47" x14ac:dyDescent="0.25">
      <c r="AC474" s="16"/>
      <c r="AJ474" s="2"/>
      <c r="AU474" s="33"/>
    </row>
    <row r="475" spans="29:47" x14ac:dyDescent="0.25">
      <c r="AC475" s="16"/>
      <c r="AJ475" s="2"/>
      <c r="AU475" s="33"/>
    </row>
    <row r="476" spans="29:47" x14ac:dyDescent="0.25">
      <c r="AC476" s="16"/>
      <c r="AJ476" s="2"/>
      <c r="AU476" s="33"/>
    </row>
    <row r="477" spans="29:47" x14ac:dyDescent="0.25">
      <c r="AC477" s="16"/>
      <c r="AJ477" s="2"/>
      <c r="AU477" s="33"/>
    </row>
    <row r="478" spans="29:47" x14ac:dyDescent="0.25">
      <c r="AC478" s="16"/>
      <c r="AJ478" s="2"/>
      <c r="AU478" s="33"/>
    </row>
    <row r="479" spans="29:47" x14ac:dyDescent="0.25">
      <c r="AC479" s="16"/>
      <c r="AJ479" s="2"/>
      <c r="AU479" s="33"/>
    </row>
    <row r="480" spans="29:47" x14ac:dyDescent="0.25">
      <c r="AC480" s="16"/>
      <c r="AJ480" s="2"/>
      <c r="AU480" s="33"/>
    </row>
    <row r="481" spans="29:47" x14ac:dyDescent="0.25">
      <c r="AC481" s="16"/>
      <c r="AJ481" s="2"/>
      <c r="AU481" s="33"/>
    </row>
    <row r="482" spans="29:47" x14ac:dyDescent="0.25">
      <c r="AC482" s="16"/>
      <c r="AJ482" s="2"/>
      <c r="AU482" s="33"/>
    </row>
    <row r="483" spans="29:47" x14ac:dyDescent="0.25">
      <c r="AC483" s="16"/>
      <c r="AJ483" s="2"/>
      <c r="AU483" s="33"/>
    </row>
    <row r="484" spans="29:47" x14ac:dyDescent="0.25">
      <c r="AC484" s="16"/>
      <c r="AJ484" s="2"/>
      <c r="AU484" s="33"/>
    </row>
    <row r="485" spans="29:47" x14ac:dyDescent="0.25">
      <c r="AC485" s="16"/>
      <c r="AJ485" s="2"/>
      <c r="AU485" s="33"/>
    </row>
    <row r="486" spans="29:47" x14ac:dyDescent="0.25">
      <c r="AC486" s="16"/>
      <c r="AJ486" s="2"/>
      <c r="AU486" s="33"/>
    </row>
    <row r="487" spans="29:47" x14ac:dyDescent="0.25">
      <c r="AC487" s="16"/>
      <c r="AJ487" s="2"/>
      <c r="AU487" s="33"/>
    </row>
    <row r="488" spans="29:47" x14ac:dyDescent="0.25">
      <c r="AC488" s="16"/>
      <c r="AJ488" s="2"/>
      <c r="AU488" s="33"/>
    </row>
    <row r="489" spans="29:47" x14ac:dyDescent="0.25">
      <c r="AC489" s="16"/>
      <c r="AJ489" s="2"/>
      <c r="AU489" s="33"/>
    </row>
    <row r="490" spans="29:47" x14ac:dyDescent="0.25">
      <c r="AC490" s="16"/>
      <c r="AJ490" s="2"/>
      <c r="AU490" s="33"/>
    </row>
    <row r="491" spans="29:47" x14ac:dyDescent="0.25">
      <c r="AC491" s="16"/>
      <c r="AJ491" s="2"/>
      <c r="AU491" s="33"/>
    </row>
    <row r="492" spans="29:47" x14ac:dyDescent="0.25">
      <c r="AC492" s="16"/>
      <c r="AJ492" s="2"/>
      <c r="AU492" s="33"/>
    </row>
    <row r="493" spans="29:47" x14ac:dyDescent="0.25">
      <c r="AC493" s="16"/>
      <c r="AJ493" s="2"/>
      <c r="AU493" s="33"/>
    </row>
    <row r="494" spans="29:47" x14ac:dyDescent="0.25">
      <c r="AC494" s="16"/>
      <c r="AJ494" s="2"/>
      <c r="AU494" s="33"/>
    </row>
    <row r="495" spans="29:47" x14ac:dyDescent="0.25">
      <c r="AC495" s="16"/>
      <c r="AJ495" s="2"/>
      <c r="AU495" s="33"/>
    </row>
    <row r="496" spans="29:47" x14ac:dyDescent="0.25">
      <c r="AC496" s="16"/>
      <c r="AJ496" s="2"/>
      <c r="AU496" s="33"/>
    </row>
    <row r="497" spans="29:47" x14ac:dyDescent="0.25">
      <c r="AC497" s="16"/>
      <c r="AJ497" s="2"/>
      <c r="AU497" s="33"/>
    </row>
    <row r="498" spans="29:47" x14ac:dyDescent="0.25">
      <c r="AC498" s="16"/>
      <c r="AJ498" s="2"/>
      <c r="AU498" s="33"/>
    </row>
    <row r="499" spans="29:47" x14ac:dyDescent="0.25">
      <c r="AC499" s="16"/>
      <c r="AJ499" s="2"/>
      <c r="AU499" s="33"/>
    </row>
    <row r="500" spans="29:47" x14ac:dyDescent="0.25">
      <c r="AC500" s="16"/>
      <c r="AJ500" s="2"/>
      <c r="AU500" s="33"/>
    </row>
    <row r="501" spans="29:47" x14ac:dyDescent="0.25">
      <c r="AC501" s="16"/>
      <c r="AJ501" s="2"/>
      <c r="AU501" s="33"/>
    </row>
    <row r="502" spans="29:47" x14ac:dyDescent="0.25">
      <c r="AJ502" s="2"/>
      <c r="AU502" s="33"/>
    </row>
    <row r="503" spans="29:47" x14ac:dyDescent="0.25">
      <c r="AJ503" s="2"/>
      <c r="AU503" s="33"/>
    </row>
    <row r="504" spans="29:47" x14ac:dyDescent="0.25">
      <c r="AJ504" s="2"/>
      <c r="AU504" s="33"/>
    </row>
    <row r="505" spans="29:47" x14ac:dyDescent="0.25">
      <c r="AJ505" s="2"/>
      <c r="AU505" s="33"/>
    </row>
    <row r="506" spans="29:47" x14ac:dyDescent="0.25">
      <c r="AJ506" s="2"/>
      <c r="AU506" s="33"/>
    </row>
    <row r="507" spans="29:47" x14ac:dyDescent="0.25">
      <c r="AJ507" s="2"/>
      <c r="AU507" s="33"/>
    </row>
    <row r="508" spans="29:47" x14ac:dyDescent="0.25">
      <c r="AJ508" s="2"/>
      <c r="AU508" s="33"/>
    </row>
    <row r="509" spans="29:47" x14ac:dyDescent="0.25">
      <c r="AJ509" s="2"/>
      <c r="AU509" s="33"/>
    </row>
    <row r="510" spans="29:47" x14ac:dyDescent="0.25">
      <c r="AJ510" s="2"/>
      <c r="AU510" s="33"/>
    </row>
    <row r="511" spans="29:47" x14ac:dyDescent="0.25">
      <c r="AJ511" s="2"/>
      <c r="AU511" s="33"/>
    </row>
    <row r="512" spans="29:47" x14ac:dyDescent="0.25">
      <c r="AJ512" s="2"/>
      <c r="AU512" s="33"/>
    </row>
    <row r="513" spans="36:47" x14ac:dyDescent="0.25">
      <c r="AJ513" s="2"/>
      <c r="AU513" s="33"/>
    </row>
    <row r="514" spans="36:47" x14ac:dyDescent="0.25">
      <c r="AJ514" s="2"/>
      <c r="AU514" s="33"/>
    </row>
    <row r="515" spans="36:47" x14ac:dyDescent="0.25">
      <c r="AJ515" s="2"/>
      <c r="AU515" s="33"/>
    </row>
    <row r="516" spans="36:47" x14ac:dyDescent="0.25">
      <c r="AJ516" s="2"/>
      <c r="AU516" s="33"/>
    </row>
    <row r="517" spans="36:47" x14ac:dyDescent="0.25">
      <c r="AJ517" s="2"/>
      <c r="AU517" s="33"/>
    </row>
    <row r="518" spans="36:47" x14ac:dyDescent="0.25">
      <c r="AJ518" s="2"/>
      <c r="AU518" s="33"/>
    </row>
    <row r="519" spans="36:47" x14ac:dyDescent="0.25">
      <c r="AJ519" s="2"/>
      <c r="AU519" s="33"/>
    </row>
    <row r="520" spans="36:47" x14ac:dyDescent="0.25">
      <c r="AJ520" s="2"/>
      <c r="AU520" s="33"/>
    </row>
    <row r="521" spans="36:47" x14ac:dyDescent="0.25">
      <c r="AJ521" s="2"/>
      <c r="AU521" s="33"/>
    </row>
    <row r="522" spans="36:47" x14ac:dyDescent="0.25">
      <c r="AJ522" s="2"/>
      <c r="AU522" s="33"/>
    </row>
    <row r="523" spans="36:47" x14ac:dyDescent="0.25">
      <c r="AJ523" s="2"/>
      <c r="AU523" s="33"/>
    </row>
    <row r="524" spans="36:47" x14ac:dyDescent="0.25">
      <c r="AJ524" s="2"/>
      <c r="AU524" s="33"/>
    </row>
    <row r="525" spans="36:47" x14ac:dyDescent="0.25">
      <c r="AJ525" s="2"/>
      <c r="AU525" s="33"/>
    </row>
    <row r="526" spans="36:47" x14ac:dyDescent="0.25">
      <c r="AJ526" s="2"/>
      <c r="AU526" s="33"/>
    </row>
    <row r="527" spans="36:47" x14ac:dyDescent="0.25">
      <c r="AJ527" s="2"/>
      <c r="AU527" s="33"/>
    </row>
    <row r="528" spans="36:47" x14ac:dyDescent="0.25">
      <c r="AJ528" s="2"/>
      <c r="AU528" s="33"/>
    </row>
    <row r="529" spans="36:47" x14ac:dyDescent="0.25">
      <c r="AJ529" s="2"/>
      <c r="AU529" s="33"/>
    </row>
    <row r="530" spans="36:47" x14ac:dyDescent="0.25">
      <c r="AJ530" s="2"/>
      <c r="AU530" s="33"/>
    </row>
    <row r="531" spans="36:47" x14ac:dyDescent="0.25">
      <c r="AJ531" s="2"/>
      <c r="AU531" s="33"/>
    </row>
    <row r="532" spans="36:47" x14ac:dyDescent="0.25">
      <c r="AJ532" s="2"/>
      <c r="AU532" s="33"/>
    </row>
    <row r="533" spans="36:47" x14ac:dyDescent="0.25">
      <c r="AJ533" s="2"/>
      <c r="AU533" s="33"/>
    </row>
    <row r="534" spans="36:47" x14ac:dyDescent="0.25">
      <c r="AJ534" s="2"/>
      <c r="AU534" s="33"/>
    </row>
    <row r="535" spans="36:47" x14ac:dyDescent="0.25">
      <c r="AJ535" s="2"/>
      <c r="AU535" s="33"/>
    </row>
    <row r="536" spans="36:47" x14ac:dyDescent="0.25">
      <c r="AJ536" s="2"/>
      <c r="AU536" s="33"/>
    </row>
    <row r="537" spans="36:47" x14ac:dyDescent="0.25">
      <c r="AJ537" s="2"/>
      <c r="AU537" s="33"/>
    </row>
    <row r="538" spans="36:47" x14ac:dyDescent="0.25">
      <c r="AJ538" s="2"/>
      <c r="AU538" s="33"/>
    </row>
    <row r="539" spans="36:47" x14ac:dyDescent="0.25">
      <c r="AJ539" s="2"/>
      <c r="AU539" s="33"/>
    </row>
    <row r="540" spans="36:47" x14ac:dyDescent="0.25">
      <c r="AJ540" s="2"/>
      <c r="AU540" s="33"/>
    </row>
    <row r="541" spans="36:47" x14ac:dyDescent="0.25">
      <c r="AJ541" s="2"/>
      <c r="AU541" s="33"/>
    </row>
    <row r="542" spans="36:47" x14ac:dyDescent="0.25">
      <c r="AJ542" s="2"/>
      <c r="AU542" s="33"/>
    </row>
    <row r="543" spans="36:47" x14ac:dyDescent="0.25">
      <c r="AJ543" s="2"/>
      <c r="AU543" s="33"/>
    </row>
    <row r="544" spans="36:47" x14ac:dyDescent="0.25">
      <c r="AJ544" s="2"/>
      <c r="AU544" s="33"/>
    </row>
    <row r="545" spans="36:47" x14ac:dyDescent="0.25">
      <c r="AJ545" s="2"/>
      <c r="AU545" s="33"/>
    </row>
    <row r="546" spans="36:47" x14ac:dyDescent="0.25">
      <c r="AJ546" s="2"/>
      <c r="AU546" s="33"/>
    </row>
    <row r="547" spans="36:47" x14ac:dyDescent="0.25">
      <c r="AJ547" s="2"/>
      <c r="AU547" s="33"/>
    </row>
    <row r="548" spans="36:47" x14ac:dyDescent="0.25">
      <c r="AJ548" s="2"/>
      <c r="AU548" s="33"/>
    </row>
    <row r="549" spans="36:47" x14ac:dyDescent="0.25">
      <c r="AJ549" s="2"/>
      <c r="AU549" s="33"/>
    </row>
    <row r="550" spans="36:47" x14ac:dyDescent="0.25">
      <c r="AJ550" s="2"/>
      <c r="AU550" s="33"/>
    </row>
    <row r="551" spans="36:47" x14ac:dyDescent="0.25">
      <c r="AJ551" s="2"/>
      <c r="AU551" s="33"/>
    </row>
    <row r="552" spans="36:47" x14ac:dyDescent="0.25">
      <c r="AJ552" s="2"/>
      <c r="AU552" s="33"/>
    </row>
    <row r="553" spans="36:47" x14ac:dyDescent="0.25">
      <c r="AJ553" s="2"/>
      <c r="AU553" s="33"/>
    </row>
    <row r="554" spans="36:47" x14ac:dyDescent="0.25">
      <c r="AJ554" s="2"/>
      <c r="AU554" s="33"/>
    </row>
    <row r="555" spans="36:47" x14ac:dyDescent="0.25">
      <c r="AJ555" s="2"/>
      <c r="AU555" s="33"/>
    </row>
    <row r="556" spans="36:47" x14ac:dyDescent="0.25">
      <c r="AJ556" s="2"/>
      <c r="AU556" s="33"/>
    </row>
    <row r="557" spans="36:47" x14ac:dyDescent="0.25">
      <c r="AJ557" s="2"/>
      <c r="AU557" s="33"/>
    </row>
    <row r="558" spans="36:47" x14ac:dyDescent="0.25">
      <c r="AJ558" s="2"/>
      <c r="AU558" s="33"/>
    </row>
    <row r="559" spans="36:47" x14ac:dyDescent="0.25">
      <c r="AJ559" s="2"/>
      <c r="AU559" s="33"/>
    </row>
    <row r="560" spans="36:47" x14ac:dyDescent="0.25">
      <c r="AJ560" s="2"/>
      <c r="AU560" s="33"/>
    </row>
    <row r="561" spans="36:47" x14ac:dyDescent="0.25">
      <c r="AJ561" s="2"/>
      <c r="AU561" s="33"/>
    </row>
    <row r="562" spans="36:47" x14ac:dyDescent="0.25">
      <c r="AJ562" s="2"/>
      <c r="AU562" s="33"/>
    </row>
    <row r="563" spans="36:47" x14ac:dyDescent="0.25">
      <c r="AJ563" s="2"/>
      <c r="AU563" s="33"/>
    </row>
    <row r="564" spans="36:47" x14ac:dyDescent="0.25">
      <c r="AJ564" s="2"/>
      <c r="AU564" s="33"/>
    </row>
    <row r="565" spans="36:47" x14ac:dyDescent="0.25">
      <c r="AJ565" s="2"/>
      <c r="AU565" s="33"/>
    </row>
    <row r="566" spans="36:47" x14ac:dyDescent="0.25">
      <c r="AJ566" s="2"/>
      <c r="AU566" s="33"/>
    </row>
    <row r="567" spans="36:47" x14ac:dyDescent="0.25">
      <c r="AJ567" s="2"/>
      <c r="AU567" s="33"/>
    </row>
    <row r="568" spans="36:47" x14ac:dyDescent="0.25">
      <c r="AJ568" s="2"/>
      <c r="AU568" s="33"/>
    </row>
    <row r="569" spans="36:47" x14ac:dyDescent="0.25">
      <c r="AJ569" s="2"/>
      <c r="AU569" s="33"/>
    </row>
    <row r="570" spans="36:47" x14ac:dyDescent="0.25">
      <c r="AJ570" s="2"/>
      <c r="AU570" s="33"/>
    </row>
    <row r="571" spans="36:47" x14ac:dyDescent="0.25">
      <c r="AJ571" s="2"/>
      <c r="AU571" s="33"/>
    </row>
    <row r="572" spans="36:47" x14ac:dyDescent="0.25">
      <c r="AJ572" s="2"/>
      <c r="AU572" s="33"/>
    </row>
    <row r="573" spans="36:47" x14ac:dyDescent="0.25">
      <c r="AJ573" s="2"/>
      <c r="AU573" s="33"/>
    </row>
    <row r="574" spans="36:47" x14ac:dyDescent="0.25">
      <c r="AJ574" s="2"/>
      <c r="AU574" s="33"/>
    </row>
    <row r="575" spans="36:47" x14ac:dyDescent="0.25">
      <c r="AJ575" s="2"/>
      <c r="AU575" s="33"/>
    </row>
    <row r="576" spans="36:47" x14ac:dyDescent="0.25">
      <c r="AJ576" s="2"/>
      <c r="AU576" s="33"/>
    </row>
    <row r="577" spans="36:47" x14ac:dyDescent="0.25">
      <c r="AJ577" s="2"/>
      <c r="AU577" s="33"/>
    </row>
    <row r="578" spans="36:47" x14ac:dyDescent="0.25">
      <c r="AJ578" s="2"/>
      <c r="AU578" s="33"/>
    </row>
    <row r="579" spans="36:47" x14ac:dyDescent="0.25">
      <c r="AJ579" s="2"/>
      <c r="AU579" s="33"/>
    </row>
    <row r="580" spans="36:47" x14ac:dyDescent="0.25">
      <c r="AJ580" s="2"/>
      <c r="AU580" s="33"/>
    </row>
    <row r="581" spans="36:47" x14ac:dyDescent="0.25">
      <c r="AJ581" s="2"/>
      <c r="AU581" s="33"/>
    </row>
    <row r="582" spans="36:47" x14ac:dyDescent="0.25">
      <c r="AJ582" s="2"/>
      <c r="AU582" s="33"/>
    </row>
    <row r="583" spans="36:47" x14ac:dyDescent="0.25">
      <c r="AJ583" s="2"/>
      <c r="AU583" s="33"/>
    </row>
    <row r="584" spans="36:47" x14ac:dyDescent="0.25">
      <c r="AJ584" s="2"/>
      <c r="AU584" s="33"/>
    </row>
    <row r="585" spans="36:47" x14ac:dyDescent="0.25">
      <c r="AJ585" s="2"/>
      <c r="AU585" s="33"/>
    </row>
    <row r="586" spans="36:47" x14ac:dyDescent="0.25">
      <c r="AJ586" s="2"/>
      <c r="AU586" s="33"/>
    </row>
    <row r="587" spans="36:47" x14ac:dyDescent="0.25">
      <c r="AJ587" s="2"/>
      <c r="AU587" s="33"/>
    </row>
    <row r="588" spans="36:47" x14ac:dyDescent="0.25">
      <c r="AJ588" s="2"/>
      <c r="AU588" s="33"/>
    </row>
    <row r="589" spans="36:47" x14ac:dyDescent="0.25">
      <c r="AJ589" s="2"/>
      <c r="AU589" s="33"/>
    </row>
    <row r="590" spans="36:47" x14ac:dyDescent="0.25">
      <c r="AJ590" s="2"/>
      <c r="AU590" s="33"/>
    </row>
    <row r="591" spans="36:47" x14ac:dyDescent="0.25">
      <c r="AJ591" s="2"/>
      <c r="AU591" s="33"/>
    </row>
    <row r="592" spans="36:47" x14ac:dyDescent="0.25">
      <c r="AJ592" s="2"/>
      <c r="AU592" s="33"/>
    </row>
    <row r="593" spans="36:47" x14ac:dyDescent="0.25">
      <c r="AJ593" s="2"/>
      <c r="AU593" s="33"/>
    </row>
    <row r="594" spans="36:47" x14ac:dyDescent="0.25">
      <c r="AJ594" s="2"/>
      <c r="AU594" s="33"/>
    </row>
    <row r="595" spans="36:47" x14ac:dyDescent="0.25">
      <c r="AJ595" s="2"/>
      <c r="AU595" s="33"/>
    </row>
    <row r="596" spans="36:47" x14ac:dyDescent="0.25">
      <c r="AJ596" s="2"/>
    </row>
    <row r="597" spans="36:47" x14ac:dyDescent="0.25">
      <c r="AJ597" s="2"/>
    </row>
    <row r="598" spans="36:47" x14ac:dyDescent="0.25">
      <c r="AJ598" s="2"/>
    </row>
    <row r="599" spans="36:47" x14ac:dyDescent="0.25">
      <c r="AJ599" s="2"/>
    </row>
    <row r="600" spans="36:47" x14ac:dyDescent="0.25">
      <c r="AJ600" s="2"/>
    </row>
    <row r="601" spans="36:47" x14ac:dyDescent="0.25">
      <c r="AJ601" s="2"/>
    </row>
    <row r="602" spans="36:47" x14ac:dyDescent="0.25">
      <c r="AJ602" s="2"/>
    </row>
    <row r="603" spans="36:47" x14ac:dyDescent="0.25">
      <c r="AJ603" s="2"/>
    </row>
    <row r="604" spans="36:47" x14ac:dyDescent="0.25">
      <c r="AJ604" s="2"/>
    </row>
    <row r="605" spans="36:47" x14ac:dyDescent="0.25">
      <c r="AJ605" s="2"/>
    </row>
    <row r="606" spans="36:47" x14ac:dyDescent="0.25">
      <c r="AJ606" s="2"/>
    </row>
    <row r="607" spans="36:47" x14ac:dyDescent="0.25">
      <c r="AJ607" s="2"/>
    </row>
    <row r="608" spans="36:47" x14ac:dyDescent="0.25">
      <c r="AJ608" s="2"/>
    </row>
    <row r="609" spans="36:36" x14ac:dyDescent="0.25">
      <c r="AJ609" s="2"/>
    </row>
    <row r="610" spans="36:36" x14ac:dyDescent="0.25">
      <c r="AJ610" s="2"/>
    </row>
    <row r="611" spans="36:36" x14ac:dyDescent="0.25">
      <c r="AJ611" s="2"/>
    </row>
    <row r="612" spans="36:36" x14ac:dyDescent="0.25">
      <c r="AJ612" s="2"/>
    </row>
    <row r="613" spans="36:36" x14ac:dyDescent="0.25">
      <c r="AJ613" s="2"/>
    </row>
    <row r="614" spans="36:36" x14ac:dyDescent="0.25">
      <c r="AJ614" s="2"/>
    </row>
    <row r="615" spans="36:36" x14ac:dyDescent="0.25">
      <c r="AJ615" s="2"/>
    </row>
    <row r="616" spans="36:36" x14ac:dyDescent="0.25">
      <c r="AJ616" s="2"/>
    </row>
    <row r="617" spans="36:36" x14ac:dyDescent="0.25">
      <c r="AJ617" s="2"/>
    </row>
    <row r="618" spans="36:36" x14ac:dyDescent="0.25">
      <c r="AJ618" s="2"/>
    </row>
    <row r="619" spans="36:36" x14ac:dyDescent="0.25">
      <c r="AJ619" s="2"/>
    </row>
    <row r="620" spans="36:36" x14ac:dyDescent="0.25">
      <c r="AJ620" s="2"/>
    </row>
    <row r="621" spans="36:36" x14ac:dyDescent="0.25">
      <c r="AJ621" s="2"/>
    </row>
    <row r="622" spans="36:36" x14ac:dyDescent="0.25">
      <c r="AJ622" s="2"/>
    </row>
    <row r="623" spans="36:36" x14ac:dyDescent="0.25">
      <c r="AJ623" s="2"/>
    </row>
    <row r="624" spans="36:36" x14ac:dyDescent="0.25">
      <c r="AJ624" s="2"/>
    </row>
    <row r="625" spans="36:36" x14ac:dyDescent="0.25">
      <c r="AJ625" s="2"/>
    </row>
    <row r="626" spans="36:36" x14ac:dyDescent="0.25">
      <c r="AJ626" s="2"/>
    </row>
    <row r="627" spans="36:36" x14ac:dyDescent="0.25">
      <c r="AJ627" s="2"/>
    </row>
    <row r="628" spans="36:36" x14ac:dyDescent="0.25">
      <c r="AJ628" s="2"/>
    </row>
    <row r="629" spans="36:36" x14ac:dyDescent="0.25">
      <c r="AJ629" s="2"/>
    </row>
    <row r="630" spans="36:36" x14ac:dyDescent="0.25">
      <c r="AJ630" s="2"/>
    </row>
    <row r="631" spans="36:36" x14ac:dyDescent="0.25">
      <c r="AJ631" s="2"/>
    </row>
    <row r="632" spans="36:36" x14ac:dyDescent="0.25">
      <c r="AJ632" s="2"/>
    </row>
    <row r="633" spans="36:36" x14ac:dyDescent="0.25">
      <c r="AJ633" s="2"/>
    </row>
    <row r="634" spans="36:36" x14ac:dyDescent="0.25">
      <c r="AJ634" s="2"/>
    </row>
    <row r="635" spans="36:36" x14ac:dyDescent="0.25">
      <c r="AJ635" s="2"/>
    </row>
    <row r="636" spans="36:36" x14ac:dyDescent="0.25">
      <c r="AJ636" s="2"/>
    </row>
    <row r="637" spans="36:36" x14ac:dyDescent="0.25">
      <c r="AJ637" s="2"/>
    </row>
    <row r="638" spans="36:36" x14ac:dyDescent="0.25">
      <c r="AJ638" s="2"/>
    </row>
    <row r="639" spans="36:36" x14ac:dyDescent="0.25">
      <c r="AJ639" s="2"/>
    </row>
    <row r="640" spans="36:36" x14ac:dyDescent="0.25">
      <c r="AJ640" s="2"/>
    </row>
    <row r="641" spans="36:36" x14ac:dyDescent="0.25">
      <c r="AJ641" s="2"/>
    </row>
    <row r="642" spans="36:36" x14ac:dyDescent="0.25">
      <c r="AJ642" s="2"/>
    </row>
    <row r="643" spans="36:36" x14ac:dyDescent="0.25">
      <c r="AJ643" s="2"/>
    </row>
    <row r="644" spans="36:36" x14ac:dyDescent="0.25">
      <c r="AJ644" s="2"/>
    </row>
    <row r="645" spans="36:36" x14ac:dyDescent="0.25">
      <c r="AJ645" s="2"/>
    </row>
    <row r="646" spans="36:36" x14ac:dyDescent="0.25">
      <c r="AJ646" s="2"/>
    </row>
    <row r="647" spans="36:36" x14ac:dyDescent="0.25">
      <c r="AJ647" s="2"/>
    </row>
    <row r="648" spans="36:36" x14ac:dyDescent="0.25">
      <c r="AJ648" s="2"/>
    </row>
    <row r="649" spans="36:36" x14ac:dyDescent="0.25">
      <c r="AJ649" s="2"/>
    </row>
    <row r="650" spans="36:36" x14ac:dyDescent="0.25">
      <c r="AJ650" s="2"/>
    </row>
    <row r="651" spans="36:36" x14ac:dyDescent="0.25">
      <c r="AJ651" s="2"/>
    </row>
    <row r="652" spans="36:36" x14ac:dyDescent="0.25">
      <c r="AJ652" s="2"/>
    </row>
    <row r="653" spans="36:36" x14ac:dyDescent="0.25">
      <c r="AJ653" s="2"/>
    </row>
    <row r="654" spans="36:36" x14ac:dyDescent="0.25">
      <c r="AJ654" s="2"/>
    </row>
    <row r="655" spans="36:36" x14ac:dyDescent="0.25">
      <c r="AJ655" s="2"/>
    </row>
    <row r="656" spans="36:36" x14ac:dyDescent="0.25">
      <c r="AJ656" s="2"/>
    </row>
    <row r="657" spans="36:36" x14ac:dyDescent="0.25">
      <c r="AJ657" s="2"/>
    </row>
    <row r="658" spans="36:36" x14ac:dyDescent="0.25">
      <c r="AJ658" s="2"/>
    </row>
    <row r="659" spans="36:36" x14ac:dyDescent="0.25">
      <c r="AJ659" s="2"/>
    </row>
    <row r="660" spans="36:36" x14ac:dyDescent="0.25">
      <c r="AJ660" s="2"/>
    </row>
    <row r="661" spans="36:36" x14ac:dyDescent="0.25">
      <c r="AJ661" s="2"/>
    </row>
    <row r="662" spans="36:36" x14ac:dyDescent="0.25">
      <c r="AJ662" s="2"/>
    </row>
    <row r="663" spans="36:36" x14ac:dyDescent="0.25">
      <c r="AJ663" s="2"/>
    </row>
    <row r="664" spans="36:36" x14ac:dyDescent="0.25">
      <c r="AJ664" s="2"/>
    </row>
    <row r="665" spans="36:36" x14ac:dyDescent="0.25">
      <c r="AJ665" s="2"/>
    </row>
    <row r="666" spans="36:36" x14ac:dyDescent="0.25">
      <c r="AJ666" s="2"/>
    </row>
    <row r="667" spans="36:36" x14ac:dyDescent="0.25">
      <c r="AJ667" s="2"/>
    </row>
    <row r="668" spans="36:36" x14ac:dyDescent="0.25">
      <c r="AJ668" s="2"/>
    </row>
    <row r="669" spans="36:36" x14ac:dyDescent="0.25">
      <c r="AJ669" s="2"/>
    </row>
    <row r="670" spans="36:36" x14ac:dyDescent="0.25">
      <c r="AJ670" s="2"/>
    </row>
    <row r="671" spans="36:36" x14ac:dyDescent="0.25">
      <c r="AJ671" s="2"/>
    </row>
    <row r="672" spans="36:36" x14ac:dyDescent="0.25">
      <c r="AJ672" s="2"/>
    </row>
    <row r="673" spans="36:36" x14ac:dyDescent="0.25">
      <c r="AJ673" s="2"/>
    </row>
    <row r="674" spans="36:36" x14ac:dyDescent="0.25">
      <c r="AJ674" s="2"/>
    </row>
    <row r="675" spans="36:36" x14ac:dyDescent="0.25">
      <c r="AJ675" s="2"/>
    </row>
    <row r="676" spans="36:36" x14ac:dyDescent="0.25">
      <c r="AJ676" s="2"/>
    </row>
    <row r="677" spans="36:36" x14ac:dyDescent="0.25">
      <c r="AJ677" s="2"/>
    </row>
    <row r="678" spans="36:36" x14ac:dyDescent="0.25">
      <c r="AJ678" s="2"/>
    </row>
    <row r="679" spans="36:36" x14ac:dyDescent="0.25">
      <c r="AJ679" s="2"/>
    </row>
    <row r="680" spans="36:36" x14ac:dyDescent="0.25">
      <c r="AJ680" s="2"/>
    </row>
    <row r="681" spans="36:36" x14ac:dyDescent="0.25">
      <c r="AJ681" s="2"/>
    </row>
    <row r="682" spans="36:36" x14ac:dyDescent="0.25">
      <c r="AJ682" s="2"/>
    </row>
    <row r="683" spans="36:36" x14ac:dyDescent="0.25">
      <c r="AJ683" s="2"/>
    </row>
    <row r="684" spans="36:36" x14ac:dyDescent="0.25">
      <c r="AJ684" s="2"/>
    </row>
    <row r="685" spans="36:36" x14ac:dyDescent="0.25">
      <c r="AJ685" s="2"/>
    </row>
    <row r="686" spans="36:36" x14ac:dyDescent="0.25">
      <c r="AJ686" s="2"/>
    </row>
    <row r="687" spans="36:36" x14ac:dyDescent="0.25">
      <c r="AJ687" s="2"/>
    </row>
    <row r="688" spans="36:36" x14ac:dyDescent="0.25">
      <c r="AJ688" s="2"/>
    </row>
    <row r="689" spans="36:36" x14ac:dyDescent="0.25">
      <c r="AJ689" s="2"/>
    </row>
    <row r="690" spans="36:36" x14ac:dyDescent="0.25">
      <c r="AJ690" s="2"/>
    </row>
    <row r="691" spans="36:36" x14ac:dyDescent="0.25">
      <c r="AJ691" s="2"/>
    </row>
    <row r="692" spans="36:36" x14ac:dyDescent="0.25">
      <c r="AJ692" s="2"/>
    </row>
    <row r="693" spans="36:36" x14ac:dyDescent="0.25">
      <c r="AJ693" s="2"/>
    </row>
    <row r="694" spans="36:36" x14ac:dyDescent="0.25">
      <c r="AJ694" s="2"/>
    </row>
    <row r="695" spans="36:36" x14ac:dyDescent="0.25">
      <c r="AJ695" s="2"/>
    </row>
    <row r="696" spans="36:36" x14ac:dyDescent="0.25">
      <c r="AJ696" s="2"/>
    </row>
    <row r="697" spans="36:36" x14ac:dyDescent="0.25">
      <c r="AJ697" s="2"/>
    </row>
    <row r="698" spans="36:36" x14ac:dyDescent="0.25">
      <c r="AJ698" s="2"/>
    </row>
    <row r="699" spans="36:36" x14ac:dyDescent="0.25">
      <c r="AJ699" s="2"/>
    </row>
    <row r="700" spans="36:36" x14ac:dyDescent="0.25">
      <c r="AJ700" s="2"/>
    </row>
    <row r="701" spans="36:36" x14ac:dyDescent="0.25">
      <c r="AJ701" s="2"/>
    </row>
    <row r="702" spans="36:36" x14ac:dyDescent="0.25">
      <c r="AJ702" s="2"/>
    </row>
    <row r="703" spans="36:36" x14ac:dyDescent="0.25">
      <c r="AJ703" s="2"/>
    </row>
    <row r="704" spans="36:36" x14ac:dyDescent="0.25">
      <c r="AJ704" s="2"/>
    </row>
    <row r="705" spans="36:36" x14ac:dyDescent="0.25">
      <c r="AJ705" s="2"/>
    </row>
    <row r="706" spans="36:36" x14ac:dyDescent="0.25">
      <c r="AJ706" s="2"/>
    </row>
    <row r="707" spans="36:36" x14ac:dyDescent="0.25">
      <c r="AJ707" s="2"/>
    </row>
    <row r="708" spans="36:36" x14ac:dyDescent="0.25">
      <c r="AJ708" s="2"/>
    </row>
    <row r="709" spans="36:36" x14ac:dyDescent="0.25">
      <c r="AJ709" s="2"/>
    </row>
    <row r="710" spans="36:36" x14ac:dyDescent="0.25">
      <c r="AJ710" s="2"/>
    </row>
    <row r="711" spans="36:36" x14ac:dyDescent="0.25">
      <c r="AJ711" s="2"/>
    </row>
    <row r="712" spans="36:36" x14ac:dyDescent="0.25">
      <c r="AJ712" s="2"/>
    </row>
    <row r="713" spans="36:36" x14ac:dyDescent="0.25">
      <c r="AJ713" s="2"/>
    </row>
    <row r="714" spans="36:36" x14ac:dyDescent="0.25">
      <c r="AJ714" s="2"/>
    </row>
    <row r="715" spans="36:36" x14ac:dyDescent="0.25">
      <c r="AJ715" s="2"/>
    </row>
    <row r="716" spans="36:36" x14ac:dyDescent="0.25">
      <c r="AJ716" s="2"/>
    </row>
    <row r="717" spans="36:36" x14ac:dyDescent="0.25">
      <c r="AJ717" s="2"/>
    </row>
    <row r="718" spans="36:36" x14ac:dyDescent="0.25">
      <c r="AJ718" s="2"/>
    </row>
    <row r="719" spans="36:36" x14ac:dyDescent="0.25">
      <c r="AJ719" s="2"/>
    </row>
    <row r="720" spans="36:36" x14ac:dyDescent="0.25">
      <c r="AJ720" s="2"/>
    </row>
    <row r="721" spans="36:36" x14ac:dyDescent="0.25">
      <c r="AJ721" s="2"/>
    </row>
    <row r="722" spans="36:36" x14ac:dyDescent="0.25">
      <c r="AJ722" s="2"/>
    </row>
    <row r="723" spans="36:36" x14ac:dyDescent="0.25">
      <c r="AJ723" s="2"/>
    </row>
    <row r="724" spans="36:36" x14ac:dyDescent="0.25">
      <c r="AJ724" s="2"/>
    </row>
    <row r="725" spans="36:36" x14ac:dyDescent="0.25">
      <c r="AJ725" s="2"/>
    </row>
    <row r="726" spans="36:36" x14ac:dyDescent="0.25">
      <c r="AJ726" s="2"/>
    </row>
    <row r="727" spans="36:36" x14ac:dyDescent="0.25">
      <c r="AJ727" s="2"/>
    </row>
    <row r="728" spans="36:36" x14ac:dyDescent="0.25">
      <c r="AJ728" s="2"/>
    </row>
    <row r="729" spans="36:36" x14ac:dyDescent="0.25">
      <c r="AJ729" s="2"/>
    </row>
    <row r="730" spans="36:36" x14ac:dyDescent="0.25">
      <c r="AJ730" s="2"/>
    </row>
    <row r="731" spans="36:36" x14ac:dyDescent="0.25">
      <c r="AJ731" s="2"/>
    </row>
    <row r="732" spans="36:36" x14ac:dyDescent="0.25">
      <c r="AJ732" s="2"/>
    </row>
    <row r="733" spans="36:36" x14ac:dyDescent="0.25">
      <c r="AJ733" s="2"/>
    </row>
    <row r="734" spans="36:36" x14ac:dyDescent="0.25">
      <c r="AJ734" s="2"/>
    </row>
    <row r="735" spans="36:36" x14ac:dyDescent="0.25">
      <c r="AJ735" s="2"/>
    </row>
    <row r="736" spans="36:36" x14ac:dyDescent="0.25">
      <c r="AJ736" s="2"/>
    </row>
    <row r="737" spans="36:36" x14ac:dyDescent="0.25">
      <c r="AJ737" s="2"/>
    </row>
    <row r="738" spans="36:36" x14ac:dyDescent="0.25">
      <c r="AJ738" s="2"/>
    </row>
    <row r="739" spans="36:36" x14ac:dyDescent="0.25">
      <c r="AJ739" s="2"/>
    </row>
    <row r="740" spans="36:36" x14ac:dyDescent="0.25">
      <c r="AJ740" s="2"/>
    </row>
    <row r="741" spans="36:36" x14ac:dyDescent="0.25">
      <c r="AJ741" s="2"/>
    </row>
    <row r="742" spans="36:36" x14ac:dyDescent="0.25">
      <c r="AJ742" s="2"/>
    </row>
    <row r="743" spans="36:36" x14ac:dyDescent="0.25">
      <c r="AJ743" s="2"/>
    </row>
    <row r="744" spans="36:36" x14ac:dyDescent="0.25">
      <c r="AJ744" s="2"/>
    </row>
    <row r="745" spans="36:36" x14ac:dyDescent="0.25">
      <c r="AJ745" s="2"/>
    </row>
    <row r="746" spans="36:36" x14ac:dyDescent="0.25">
      <c r="AJ746" s="2"/>
    </row>
    <row r="747" spans="36:36" x14ac:dyDescent="0.25">
      <c r="AJ747" s="2"/>
    </row>
    <row r="748" spans="36:36" x14ac:dyDescent="0.25">
      <c r="AJ748" s="2"/>
    </row>
    <row r="749" spans="36:36" x14ac:dyDescent="0.25">
      <c r="AJ749" s="2"/>
    </row>
    <row r="750" spans="36:36" x14ac:dyDescent="0.25">
      <c r="AJ750" s="2"/>
    </row>
    <row r="751" spans="36:36" x14ac:dyDescent="0.25">
      <c r="AJ751" s="2"/>
    </row>
    <row r="752" spans="36:36" x14ac:dyDescent="0.25">
      <c r="AJ752" s="2"/>
    </row>
    <row r="753" spans="36:36" x14ac:dyDescent="0.25">
      <c r="AJ753" s="2"/>
    </row>
    <row r="754" spans="36:36" x14ac:dyDescent="0.25">
      <c r="AJ754" s="2"/>
    </row>
    <row r="755" spans="36:36" x14ac:dyDescent="0.25">
      <c r="AJ755" s="2"/>
    </row>
    <row r="756" spans="36:36" x14ac:dyDescent="0.25">
      <c r="AJ756" s="2"/>
    </row>
    <row r="757" spans="36:36" x14ac:dyDescent="0.25">
      <c r="AJ757" s="2"/>
    </row>
    <row r="758" spans="36:36" x14ac:dyDescent="0.25">
      <c r="AJ758" s="2"/>
    </row>
    <row r="759" spans="36:36" x14ac:dyDescent="0.25">
      <c r="AJ759" s="2"/>
    </row>
    <row r="760" spans="36:36" x14ac:dyDescent="0.25">
      <c r="AJ760" s="2"/>
    </row>
    <row r="761" spans="36:36" x14ac:dyDescent="0.25">
      <c r="AJ761" s="2"/>
    </row>
    <row r="762" spans="36:36" x14ac:dyDescent="0.25">
      <c r="AJ762" s="2"/>
    </row>
    <row r="763" spans="36:36" x14ac:dyDescent="0.25">
      <c r="AJ763" s="2"/>
    </row>
    <row r="764" spans="36:36" x14ac:dyDescent="0.25">
      <c r="AJ764" s="2"/>
    </row>
    <row r="765" spans="36:36" x14ac:dyDescent="0.25">
      <c r="AJ765" s="2"/>
    </row>
    <row r="766" spans="36:36" x14ac:dyDescent="0.25">
      <c r="AJ766" s="2"/>
    </row>
    <row r="767" spans="36:36" x14ac:dyDescent="0.25">
      <c r="AJ767" s="2"/>
    </row>
    <row r="768" spans="36:36" x14ac:dyDescent="0.25">
      <c r="AJ768" s="2"/>
    </row>
    <row r="769" spans="36:36" x14ac:dyDescent="0.25">
      <c r="AJ769" s="2"/>
    </row>
    <row r="770" spans="36:36" x14ac:dyDescent="0.25">
      <c r="AJ770" s="2"/>
    </row>
    <row r="771" spans="36:36" x14ac:dyDescent="0.25">
      <c r="AJ771" s="2"/>
    </row>
    <row r="772" spans="36:36" x14ac:dyDescent="0.25">
      <c r="AJ772" s="2"/>
    </row>
    <row r="773" spans="36:36" x14ac:dyDescent="0.25">
      <c r="AJ773" s="2"/>
    </row>
    <row r="774" spans="36:36" x14ac:dyDescent="0.25">
      <c r="AJ774" s="2"/>
    </row>
    <row r="775" spans="36:36" x14ac:dyDescent="0.25">
      <c r="AJ775" s="2"/>
    </row>
    <row r="776" spans="36:36" x14ac:dyDescent="0.25">
      <c r="AJ776" s="2"/>
    </row>
    <row r="777" spans="36:36" x14ac:dyDescent="0.25">
      <c r="AJ777" s="2"/>
    </row>
    <row r="778" spans="36:36" x14ac:dyDescent="0.25">
      <c r="AJ778" s="2"/>
    </row>
    <row r="779" spans="36:36" x14ac:dyDescent="0.25">
      <c r="AJ779" s="2"/>
    </row>
    <row r="780" spans="36:36" x14ac:dyDescent="0.25">
      <c r="AJ780" s="2"/>
    </row>
    <row r="781" spans="36:36" x14ac:dyDescent="0.25">
      <c r="AJ781" s="2"/>
    </row>
    <row r="782" spans="36:36" x14ac:dyDescent="0.25">
      <c r="AJ782" s="2"/>
    </row>
    <row r="783" spans="36:36" x14ac:dyDescent="0.25">
      <c r="AJ783" s="2"/>
    </row>
    <row r="784" spans="36:36" x14ac:dyDescent="0.25">
      <c r="AJ784" s="2"/>
    </row>
    <row r="785" spans="36:36" x14ac:dyDescent="0.25">
      <c r="AJ785" s="2"/>
    </row>
    <row r="786" spans="36:36" x14ac:dyDescent="0.25">
      <c r="AJ786" s="2"/>
    </row>
    <row r="787" spans="36:36" x14ac:dyDescent="0.25">
      <c r="AJ787" s="2"/>
    </row>
    <row r="788" spans="36:36" x14ac:dyDescent="0.25">
      <c r="AJ788" s="2"/>
    </row>
    <row r="789" spans="36:36" x14ac:dyDescent="0.25">
      <c r="AJ789" s="2"/>
    </row>
    <row r="790" spans="36:36" x14ac:dyDescent="0.25">
      <c r="AJ790" s="2"/>
    </row>
    <row r="791" spans="36:36" x14ac:dyDescent="0.25">
      <c r="AJ791" s="2"/>
    </row>
    <row r="792" spans="36:36" x14ac:dyDescent="0.25">
      <c r="AJ792" s="2"/>
    </row>
    <row r="793" spans="36:36" x14ac:dyDescent="0.25">
      <c r="AJ793" s="2"/>
    </row>
    <row r="794" spans="36:36" x14ac:dyDescent="0.25">
      <c r="AJ794" s="2"/>
    </row>
    <row r="795" spans="36:36" x14ac:dyDescent="0.25">
      <c r="AJ795" s="2"/>
    </row>
    <row r="796" spans="36:36" x14ac:dyDescent="0.25">
      <c r="AJ796" s="2"/>
    </row>
    <row r="797" spans="36:36" x14ac:dyDescent="0.25">
      <c r="AJ797" s="2"/>
    </row>
    <row r="798" spans="36:36" x14ac:dyDescent="0.25">
      <c r="AJ798" s="2"/>
    </row>
    <row r="799" spans="36:36" x14ac:dyDescent="0.25">
      <c r="AJ799" s="2"/>
    </row>
    <row r="800" spans="36:36" x14ac:dyDescent="0.25">
      <c r="AJ800" s="2"/>
    </row>
    <row r="801" spans="36:36" x14ac:dyDescent="0.25">
      <c r="AJ801" s="2"/>
    </row>
    <row r="802" spans="36:36" x14ac:dyDescent="0.25">
      <c r="AJ802" s="2"/>
    </row>
    <row r="803" spans="36:36" x14ac:dyDescent="0.25">
      <c r="AJ803" s="2"/>
    </row>
    <row r="804" spans="36:36" x14ac:dyDescent="0.25">
      <c r="AJ804" s="2"/>
    </row>
    <row r="805" spans="36:36" x14ac:dyDescent="0.25">
      <c r="AJ805" s="2"/>
    </row>
    <row r="806" spans="36:36" x14ac:dyDescent="0.25">
      <c r="AJ806" s="2"/>
    </row>
    <row r="807" spans="36:36" x14ac:dyDescent="0.25">
      <c r="AJ807" s="2"/>
    </row>
    <row r="808" spans="36:36" x14ac:dyDescent="0.25">
      <c r="AJ808" s="2"/>
    </row>
    <row r="809" spans="36:36" x14ac:dyDescent="0.25">
      <c r="AJ809" s="2"/>
    </row>
    <row r="810" spans="36:36" x14ac:dyDescent="0.25">
      <c r="AJ810" s="2"/>
    </row>
    <row r="811" spans="36:36" x14ac:dyDescent="0.25">
      <c r="AJ811" s="2"/>
    </row>
    <row r="812" spans="36:36" x14ac:dyDescent="0.25">
      <c r="AJ812" s="2"/>
    </row>
    <row r="813" spans="36:36" x14ac:dyDescent="0.25">
      <c r="AJ813" s="2"/>
    </row>
    <row r="814" spans="36:36" x14ac:dyDescent="0.25">
      <c r="AJ814" s="2"/>
    </row>
    <row r="815" spans="36:36" x14ac:dyDescent="0.25">
      <c r="AJ815" s="2"/>
    </row>
    <row r="816" spans="36:36" x14ac:dyDescent="0.25">
      <c r="AJ816" s="2"/>
    </row>
    <row r="817" spans="36:36" x14ac:dyDescent="0.25">
      <c r="AJ817" s="2"/>
    </row>
    <row r="818" spans="36:36" x14ac:dyDescent="0.25">
      <c r="AJ818" s="2"/>
    </row>
    <row r="819" spans="36:36" x14ac:dyDescent="0.25">
      <c r="AJ819" s="2"/>
    </row>
    <row r="820" spans="36:36" x14ac:dyDescent="0.25">
      <c r="AJ820" s="2"/>
    </row>
    <row r="821" spans="36:36" x14ac:dyDescent="0.25">
      <c r="AJ821" s="2"/>
    </row>
    <row r="822" spans="36:36" x14ac:dyDescent="0.25">
      <c r="AJ822" s="2"/>
    </row>
    <row r="823" spans="36:36" x14ac:dyDescent="0.25">
      <c r="AJ823" s="2"/>
    </row>
    <row r="824" spans="36:36" x14ac:dyDescent="0.25">
      <c r="AJ824" s="2"/>
    </row>
    <row r="825" spans="36:36" x14ac:dyDescent="0.25">
      <c r="AJ825" s="2"/>
    </row>
    <row r="826" spans="36:36" x14ac:dyDescent="0.25">
      <c r="AJ826" s="2"/>
    </row>
    <row r="827" spans="36:36" x14ac:dyDescent="0.25">
      <c r="AJ827" s="2"/>
    </row>
    <row r="828" spans="36:36" x14ac:dyDescent="0.25">
      <c r="AJ828" s="2"/>
    </row>
    <row r="829" spans="36:36" x14ac:dyDescent="0.25">
      <c r="AJ829" s="2"/>
    </row>
    <row r="830" spans="36:36" x14ac:dyDescent="0.25">
      <c r="AJ830" s="2"/>
    </row>
    <row r="831" spans="36:36" x14ac:dyDescent="0.25">
      <c r="AJ831" s="2"/>
    </row>
    <row r="832" spans="36:36" x14ac:dyDescent="0.25">
      <c r="AJ832" s="2"/>
    </row>
    <row r="833" spans="36:36" x14ac:dyDescent="0.25">
      <c r="AJ833" s="2"/>
    </row>
    <row r="834" spans="36:36" x14ac:dyDescent="0.25">
      <c r="AJ834" s="2"/>
    </row>
    <row r="835" spans="36:36" x14ac:dyDescent="0.25">
      <c r="AJ835" s="2"/>
    </row>
    <row r="836" spans="36:36" x14ac:dyDescent="0.25">
      <c r="AJ836" s="2"/>
    </row>
    <row r="837" spans="36:36" x14ac:dyDescent="0.25">
      <c r="AJ837" s="2"/>
    </row>
    <row r="838" spans="36:36" x14ac:dyDescent="0.25">
      <c r="AJ838" s="2"/>
    </row>
  </sheetData>
  <hyperlinks>
    <hyperlink ref="Q189" r:id="rId1"/>
    <hyperlink ref="Q190" r:id="rId2"/>
    <hyperlink ref="Q191" r:id="rId3"/>
    <hyperlink ref="Q192" r:id="rId4"/>
    <hyperlink ref="V189" r:id="rId5"/>
    <hyperlink ref="AA189" r:id="rId6"/>
    <hyperlink ref="AF189" r:id="rId7" display=" AED: &quot;Annualized Expense Data 2011-12.csv&quot;, downloaded  30 settembre, 2013"/>
    <hyperlink ref="AF190" r:id="rId8"/>
    <hyperlink ref="AF191" r:id="rId9" display="HCA: &quot;Houjse of Commons: Administration. Annual Accounts 2012-13&quot;"/>
    <hyperlink ref="AF192" r:id="rId10"/>
    <hyperlink ref="AP189" r:id="rId11"/>
    <hyperlink ref="AK189" r:id="rId12" display="Purchasing Power Pairy for GDP&quot;, OECD"/>
    <hyperlink ref="G189" r:id="rId13"/>
    <hyperlink ref="L189" r:id="rId14"/>
  </hyperlinks>
  <pageMargins left="0.7" right="0.7" top="0.75" bottom="0.75" header="0.3" footer="0.3"/>
  <pageSetup paperSize="9" orientation="portrait" r:id="rId1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2013-11-07T16:51:55Z</dcterms:modified>
</cp:coreProperties>
</file>